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109" documentId="8_{C35C686B-21C5-40FC-8B6C-8853F62AA08B}" xr6:coauthVersionLast="47" xr6:coauthVersionMax="47" xr10:uidLastSave="{75D49C9C-F4E5-48C6-9BC8-B31C10C050A8}"/>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36" l="1"/>
  <c r="U40" i="32"/>
  <c r="T38" i="32"/>
  <c r="U38" i="32"/>
  <c r="G13" i="32"/>
  <c r="T43" i="48" l="1"/>
  <c r="U43" i="48" s="1"/>
  <c r="T42" i="48"/>
  <c r="U42" i="48" s="1"/>
  <c r="T41" i="48"/>
  <c r="U41" i="48" s="1"/>
  <c r="T40" i="48"/>
  <c r="U40" i="48" s="1"/>
  <c r="T39" i="48"/>
  <c r="U39" i="48" s="1"/>
  <c r="U38" i="48"/>
  <c r="T38" i="48"/>
  <c r="T43" i="36"/>
  <c r="U43" i="36" s="1"/>
  <c r="U42" i="36"/>
  <c r="T42" i="36"/>
  <c r="T41" i="36"/>
  <c r="U41" i="36" s="1"/>
  <c r="T40" i="36"/>
  <c r="U40" i="36" s="1"/>
  <c r="T39" i="36"/>
  <c r="U39" i="36" s="1"/>
  <c r="T38" i="36"/>
  <c r="U38" i="36" s="1"/>
  <c r="T43" i="32"/>
  <c r="U43" i="32" s="1"/>
  <c r="U42" i="32"/>
  <c r="T42" i="32"/>
  <c r="T41" i="32"/>
  <c r="U41" i="32" s="1"/>
  <c r="T40" i="32"/>
  <c r="T39" i="32"/>
  <c r="U39" i="32" s="1"/>
  <c r="U43" i="18"/>
  <c r="T43" i="18"/>
  <c r="U42" i="18"/>
  <c r="T42" i="18"/>
  <c r="T41" i="18"/>
  <c r="U41" i="18" s="1"/>
  <c r="T40" i="18"/>
  <c r="U40" i="18" s="1"/>
  <c r="U39" i="18"/>
  <c r="T39" i="18"/>
  <c r="T38" i="18"/>
  <c r="U38" i="18" s="1"/>
  <c r="G13" i="18" l="1"/>
  <c r="C18" i="43" l="1"/>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M8" i="25" l="1"/>
  <c r="L8" i="25"/>
  <c r="K8" i="25"/>
  <c r="J8" i="25"/>
  <c r="I8" i="25"/>
  <c r="H8" i="25"/>
  <c r="G8" i="25"/>
  <c r="F8" i="25"/>
  <c r="E8" i="25"/>
  <c r="D8" i="25"/>
  <c r="C8" i="25"/>
  <c r="B8" i="25"/>
  <c r="M6" i="25"/>
  <c r="L6" i="25"/>
  <c r="K6" i="25"/>
  <c r="J6" i="25"/>
  <c r="I6" i="25"/>
  <c r="H6" i="25"/>
  <c r="G6" i="25"/>
  <c r="F6" i="25"/>
  <c r="E6" i="25"/>
  <c r="D6" i="25"/>
  <c r="C6" i="25"/>
  <c r="C18" i="37"/>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21" i="13"/>
  <c r="B20" i="13"/>
  <c r="B19" i="13"/>
  <c r="D19" i="13" l="1"/>
  <c r="C12" i="48"/>
  <c r="C11" i="48"/>
  <c r="C10" i="48"/>
  <c r="C9" i="48"/>
  <c r="C8" i="48"/>
  <c r="C12" i="36"/>
  <c r="C11" i="36"/>
  <c r="C10" i="36"/>
  <c r="C9" i="36"/>
  <c r="C8" i="36"/>
  <c r="C12" i="32"/>
  <c r="C11" i="32"/>
  <c r="C10" i="32"/>
  <c r="C9" i="32"/>
  <c r="C8" i="32"/>
  <c r="C12" i="18"/>
  <c r="C11" i="18"/>
  <c r="C10" i="18"/>
  <c r="C9" i="18"/>
  <c r="C8" i="18"/>
  <c r="B10" i="44"/>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B16" i="29"/>
  <c r="B15" i="29"/>
  <c r="B14" i="29"/>
  <c r="B13" i="29"/>
  <c r="B12" i="29"/>
  <c r="B11" i="29"/>
  <c r="B10" i="29"/>
  <c r="B9" i="29"/>
  <c r="B8" i="29"/>
  <c r="B7" i="29"/>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33" i="25"/>
  <c r="H33" i="25"/>
  <c r="E33" i="25"/>
  <c r="B33" i="25"/>
  <c r="K19" i="25"/>
  <c r="H19" i="25"/>
  <c r="E19" i="25"/>
  <c r="B19" i="25"/>
  <c r="J9" i="25"/>
  <c r="K9" i="25"/>
  <c r="L9" i="25"/>
  <c r="M9" i="25"/>
  <c r="J7" i="25"/>
  <c r="K7" i="25"/>
  <c r="M7" i="25"/>
  <c r="I7" i="25"/>
  <c r="L7" i="25"/>
  <c r="M36" i="25" l="1"/>
  <c r="K36" i="25"/>
  <c r="M37" i="25"/>
  <c r="L37" i="25" s="1"/>
  <c r="M34" i="25"/>
  <c r="K35" i="25"/>
  <c r="K37" i="25"/>
  <c r="K34" i="25"/>
  <c r="M33" i="25"/>
  <c r="M38" i="25"/>
  <c r="M35" i="25"/>
  <c r="L35" i="25" s="1"/>
  <c r="K38" i="25"/>
  <c r="L38" i="25" s="1"/>
  <c r="G38" i="25"/>
  <c r="G35" i="25"/>
  <c r="E35" i="25"/>
  <c r="E38" i="25"/>
  <c r="E34" i="25"/>
  <c r="G33" i="25"/>
  <c r="G36" i="25"/>
  <c r="E36" i="25"/>
  <c r="E37" i="25"/>
  <c r="G37" i="25"/>
  <c r="G34" i="25"/>
  <c r="J33" i="25"/>
  <c r="I33" i="25" s="1"/>
  <c r="J36" i="25"/>
  <c r="I36" i="25" s="1"/>
  <c r="H36" i="25"/>
  <c r="H37" i="25"/>
  <c r="I37" i="25" s="1"/>
  <c r="J38" i="25"/>
  <c r="H35" i="25"/>
  <c r="I35" i="25" s="1"/>
  <c r="J34" i="25"/>
  <c r="J35" i="25"/>
  <c r="H34" i="25"/>
  <c r="I34" i="25" s="1"/>
  <c r="J37" i="25"/>
  <c r="H38" i="25"/>
  <c r="D38" i="25"/>
  <c r="D35" i="25"/>
  <c r="B38" i="25"/>
  <c r="C38" i="25" s="1"/>
  <c r="B35" i="25"/>
  <c r="C35" i="25" s="1"/>
  <c r="D33" i="25"/>
  <c r="C33" i="25" s="1"/>
  <c r="D36" i="25"/>
  <c r="C36" i="25" s="1"/>
  <c r="B37" i="25"/>
  <c r="C37" i="25" s="1"/>
  <c r="B36" i="25"/>
  <c r="D34" i="25"/>
  <c r="D37" i="25"/>
  <c r="B34" i="25"/>
  <c r="C34" i="25" s="1"/>
  <c r="D23" i="25"/>
  <c r="D20" i="25"/>
  <c r="B23" i="25"/>
  <c r="B20" i="25"/>
  <c r="C20" i="25" s="1"/>
  <c r="D24" i="25"/>
  <c r="D21" i="25"/>
  <c r="B24" i="25"/>
  <c r="C24" i="25" s="1"/>
  <c r="B21" i="25"/>
  <c r="D19" i="25"/>
  <c r="D22" i="25"/>
  <c r="B22" i="25"/>
  <c r="M22" i="25"/>
  <c r="M19" i="25"/>
  <c r="L19" i="25" s="1"/>
  <c r="M24" i="25"/>
  <c r="K22" i="25"/>
  <c r="K20" i="25"/>
  <c r="K21" i="25"/>
  <c r="M23" i="25"/>
  <c r="M20" i="25"/>
  <c r="K23" i="25"/>
  <c r="M21" i="25"/>
  <c r="K24" i="25"/>
  <c r="G24" i="25"/>
  <c r="G21" i="25"/>
  <c r="E23" i="25"/>
  <c r="E24" i="25"/>
  <c r="E21" i="25"/>
  <c r="G19" i="25"/>
  <c r="F19" i="25" s="1"/>
  <c r="G23" i="25"/>
  <c r="G20" i="25"/>
  <c r="G22" i="25"/>
  <c r="E22" i="25"/>
  <c r="E20" i="25"/>
  <c r="J24" i="25"/>
  <c r="J21" i="25"/>
  <c r="H24" i="25"/>
  <c r="H21" i="25"/>
  <c r="J19" i="25"/>
  <c r="I19" i="25" s="1"/>
  <c r="J22" i="25"/>
  <c r="H22" i="25"/>
  <c r="I22" i="25" s="1"/>
  <c r="J23" i="25"/>
  <c r="I23" i="25" s="1"/>
  <c r="J20" i="25"/>
  <c r="H23" i="25"/>
  <c r="H20" i="25"/>
  <c r="F33" i="25"/>
  <c r="L33" i="25"/>
  <c r="F22" i="25"/>
  <c r="F24" i="25"/>
  <c r="C19" i="25"/>
  <c r="C22" i="25"/>
  <c r="F23" i="25"/>
  <c r="L24" i="25"/>
  <c r="L23" i="25"/>
  <c r="F20" i="25"/>
  <c r="F38" i="25" l="1"/>
  <c r="F35" i="25"/>
  <c r="I38" i="25"/>
  <c r="L36" i="25"/>
  <c r="I21" i="25"/>
  <c r="I20" i="25"/>
  <c r="L34" i="25"/>
  <c r="I24" i="25"/>
  <c r="F36" i="25"/>
  <c r="F34" i="25"/>
  <c r="F37" i="25"/>
  <c r="L20" i="25"/>
  <c r="L22" i="25"/>
  <c r="F21" i="25"/>
  <c r="C23" i="25"/>
  <c r="C21" i="25"/>
  <c r="L21" i="25"/>
  <c r="B16" i="44"/>
  <c r="B15" i="44"/>
  <c r="B14" i="44"/>
  <c r="B13" i="44"/>
  <c r="B12" i="44"/>
  <c r="B11" i="44"/>
  <c r="B9" i="44"/>
  <c r="B8" i="44"/>
  <c r="B7" i="44"/>
  <c r="O7" i="41"/>
  <c r="D16" i="44"/>
  <c r="D15" i="44"/>
  <c r="D14" i="44"/>
  <c r="D13" i="44"/>
  <c r="D12" i="44"/>
  <c r="D11" i="44"/>
  <c r="D10" i="44"/>
  <c r="D9" i="44"/>
  <c r="D8" i="44"/>
  <c r="D7" i="44"/>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D16" i="38"/>
  <c r="D15" i="38"/>
  <c r="D14" i="38"/>
  <c r="D13" i="38"/>
  <c r="D12" i="38"/>
  <c r="D11" i="38"/>
  <c r="D10" i="38"/>
  <c r="D9" i="38"/>
  <c r="D8" i="38"/>
  <c r="D7" i="38"/>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D11" i="20"/>
  <c r="B16" i="20"/>
  <c r="B15" i="20"/>
  <c r="B14" i="20"/>
  <c r="B13" i="20"/>
  <c r="D16" i="29"/>
  <c r="D15" i="29"/>
  <c r="D14" i="29"/>
  <c r="D13" i="29"/>
  <c r="D12" i="29"/>
  <c r="D11" i="29"/>
  <c r="D10" i="29"/>
  <c r="D9" i="29"/>
  <c r="D8" i="29"/>
  <c r="D7" i="29"/>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O7" i="17" l="1"/>
  <c r="K12" i="17"/>
  <c r="K11" i="17"/>
  <c r="K10" i="17"/>
  <c r="K8" i="17"/>
  <c r="C12" i="17"/>
  <c r="C11" i="17"/>
  <c r="K7" i="17"/>
  <c r="C20" i="13" l="1"/>
  <c r="C8" i="22" s="1"/>
  <c r="C21" i="13"/>
  <c r="C8" i="23" s="1"/>
  <c r="C22" i="13"/>
  <c r="C19" i="13"/>
  <c r="C8" i="15" s="1"/>
  <c r="C12" i="13"/>
  <c r="C6" i="22" s="1"/>
  <c r="C13" i="13"/>
  <c r="C6" i="23" s="1"/>
  <c r="C14" i="13"/>
  <c r="C11" i="13"/>
  <c r="C6" i="15" s="1"/>
  <c r="C10" i="17" l="1"/>
  <c r="C9" i="17"/>
  <c r="C8" i="17"/>
  <c r="D20" i="13" l="1"/>
  <c r="D8" i="22" s="1"/>
  <c r="D21" i="13" l="1"/>
  <c r="D8" i="23" s="1"/>
  <c r="D22" i="13"/>
  <c r="I19" i="13"/>
  <c r="I8" i="15" s="1"/>
  <c r="I20" i="13"/>
  <c r="E20" i="13"/>
  <c r="E19" i="13"/>
  <c r="E8" i="15" s="1"/>
  <c r="D11" i="13"/>
  <c r="D6" i="15" s="1"/>
  <c r="E22" i="13" l="1"/>
  <c r="E8" i="22"/>
  <c r="I22" i="13"/>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L20" i="13" l="1"/>
  <c r="K8" i="22"/>
  <c r="J22" i="13"/>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D13" i="13"/>
  <c r="D6" i="23" s="1"/>
  <c r="D14" i="13"/>
  <c r="F21" i="13"/>
  <c r="F8" i="23" s="1"/>
  <c r="B32" i="23" s="1"/>
  <c r="G21" i="13"/>
  <c r="G8" i="23" s="1"/>
  <c r="J21" i="13"/>
  <c r="J8" i="23" s="1"/>
  <c r="I12" i="13"/>
  <c r="I6" i="22" s="1"/>
  <c r="E12" i="13"/>
  <c r="F34" i="15" l="1"/>
  <c r="F37" i="15"/>
  <c r="F35" i="15"/>
  <c r="M21" i="13"/>
  <c r="N21" i="13" s="1"/>
  <c r="L21" i="13"/>
  <c r="L8" i="23" s="1"/>
  <c r="L9" i="23" s="1"/>
  <c r="G36" i="22"/>
  <c r="G34" i="22"/>
  <c r="G33" i="22"/>
  <c r="G32" i="22"/>
  <c r="F32" i="22" s="1"/>
  <c r="E37" i="22"/>
  <c r="E36" i="22"/>
  <c r="E34" i="22"/>
  <c r="F34" i="22" s="1"/>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F20" i="15" s="1"/>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2"/>
  <c r="L9" i="22" s="1"/>
  <c r="L11" i="13"/>
  <c r="L6" i="15" s="1"/>
  <c r="L7" i="15" s="1"/>
  <c r="M11" i="13"/>
  <c r="H19" i="13"/>
  <c r="H8" i="15" s="1"/>
  <c r="G20" i="13"/>
  <c r="G8" i="22" s="1"/>
  <c r="G13" i="13"/>
  <c r="F20" i="13"/>
  <c r="F8" i="22" s="1"/>
  <c r="B32" i="22" s="1"/>
  <c r="F13" i="13"/>
  <c r="J12" i="13"/>
  <c r="I14" i="13"/>
  <c r="N20" i="13"/>
  <c r="M22" i="13"/>
  <c r="K12" i="13"/>
  <c r="I13" i="13"/>
  <c r="E13" i="13"/>
  <c r="E6" i="23" s="1"/>
  <c r="F22" i="15" l="1"/>
  <c r="C37" i="23"/>
  <c r="M9" i="22"/>
  <c r="M8" i="23"/>
  <c r="K32" i="23" s="1"/>
  <c r="F21" i="15"/>
  <c r="I36" i="15"/>
  <c r="H22" i="13"/>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L33" i="22" s="1"/>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G11" i="13"/>
  <c r="G6" i="15" s="1"/>
  <c r="G19" i="13"/>
  <c r="G8" i="15" s="1"/>
  <c r="G22" i="13"/>
  <c r="M12" i="13"/>
  <c r="M6" i="22" s="1"/>
  <c r="K14" i="13"/>
  <c r="K13" i="13"/>
  <c r="K6" i="23" s="1"/>
  <c r="Y30" i="23" l="1"/>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I37" i="22"/>
  <c r="F20" i="22"/>
  <c r="F23" i="22"/>
  <c r="L36" i="22"/>
  <c r="L35" i="22"/>
  <c r="F14" i="13"/>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7" i="22" l="1"/>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L20" i="22" l="1"/>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C19" i="15" l="1"/>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<sst xmlns="http://schemas.openxmlformats.org/spreadsheetml/2006/main" count="1758" uniqueCount="382">
  <si>
    <t>ECE Wage Scale</t>
  </si>
  <si>
    <t>September 2023</t>
  </si>
  <si>
    <t>Data Supplement</t>
  </si>
  <si>
    <t>Table of Contents (Click on links)</t>
  </si>
  <si>
    <t>Wage Scale</t>
  </si>
  <si>
    <t>A</t>
  </si>
  <si>
    <t>Systemwide Wage Scale</t>
  </si>
  <si>
    <t>B</t>
  </si>
  <si>
    <t>Notes</t>
  </si>
  <si>
    <t>Lead Teachers</t>
  </si>
  <si>
    <t>Wage Scaling</t>
  </si>
  <si>
    <t>Workforce Demographics</t>
  </si>
  <si>
    <t>C</t>
  </si>
  <si>
    <t>Top Comparable Occupations</t>
  </si>
  <si>
    <t>D</t>
  </si>
  <si>
    <t>Employment and Wage Trends</t>
  </si>
  <si>
    <t>E</t>
  </si>
  <si>
    <t>Occupation Flows</t>
  </si>
  <si>
    <t>F</t>
  </si>
  <si>
    <t>Real-time Demand</t>
  </si>
  <si>
    <t>G</t>
  </si>
  <si>
    <t>Commuting Patterns</t>
  </si>
  <si>
    <t>Assistant Teachers</t>
  </si>
  <si>
    <t xml:space="preserve"> Aide/Floater</t>
  </si>
  <si>
    <t>Substitute Teacher</t>
  </si>
  <si>
    <t>Methodology</t>
  </si>
  <si>
    <t xml:space="preserve">The proposed wage scale benchmarks ECE wages against comparable K-12 roles by setting the Lead Teacher wage on par with the starting salary of a K-12 teacher in Region 1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</si>
  <si>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Proposed - Pay Parity with K-12 Teachers</t>
  </si>
  <si>
    <t>Instructional Staff</t>
  </si>
  <si>
    <t>Current Median Wage</t>
  </si>
  <si>
    <t>Proposed Base Wage</t>
  </si>
  <si>
    <r>
      <t xml:space="preserve">Annual Salary       </t>
    </r>
    <r>
      <rPr>
        <sz val="11"/>
        <rFont val="Arial"/>
        <family val="2"/>
      </rPr>
      <t>(52 weeks)</t>
    </r>
  </si>
  <si>
    <t>ECE I</t>
  </si>
  <si>
    <t>ECE II</t>
  </si>
  <si>
    <t>ECE III</t>
  </si>
  <si>
    <t xml:space="preserve">Explanation for Proposed Base Wage </t>
  </si>
  <si>
    <t>Hourly</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</si>
  <si>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</si>
  <si>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</si>
  <si>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</si>
  <si>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</si>
  <si>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t>P1</t>
  </si>
  <si>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</si>
  <si>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</si>
  <si>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</si>
  <si>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</si>
  <si>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t>Note: All Infant/Toddler instructional roles are 10% more than Preschool roles</t>
  </si>
  <si>
    <t>CDA</t>
  </si>
  <si>
    <t>CDA + Apprenticeship</t>
  </si>
  <si>
    <t>AA</t>
  </si>
  <si>
    <t>AA + Apprenticeship</t>
  </si>
  <si>
    <t>Lead Teacher, Infant-Toddler</t>
  </si>
  <si>
    <t>Assistant Teacher, Infant-Toddler</t>
  </si>
  <si>
    <t>25% less than Lead Teacher</t>
  </si>
  <si>
    <t>Aide/floater, Infant-Toddler</t>
  </si>
  <si>
    <t>25% less than Assistant Teacher</t>
  </si>
  <si>
    <t>Substitute, Infant-Toddler</t>
  </si>
  <si>
    <t>-</t>
  </si>
  <si>
    <t>Parity with Assistant Teacher, which has similar responsibilities             (10% increase for long-term assignments)</t>
  </si>
  <si>
    <t>Note: All Professional Levels increase by 10% - Infant/Toddler instructional roles are 10% more than Preschool roles</t>
  </si>
  <si>
    <t>Lead Teacher, Preschool</t>
  </si>
  <si>
    <t>Median Hourly rate for Step 1 Teacher Salary ($41,010 a year)</t>
  </si>
  <si>
    <t>Assistant Teacher, Preschool</t>
  </si>
  <si>
    <t>Aide/floater, Preschool</t>
  </si>
  <si>
    <t xml:space="preserve">25% less than Assistant Teacher </t>
  </si>
  <si>
    <t>Substitute, Preschool</t>
  </si>
  <si>
    <t>1B | Systemwide Wage Scale -- Notes</t>
  </si>
  <si>
    <t>How to Use the Proposed Wage Scales</t>
  </si>
  <si>
    <t>Base Wage</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</si>
  <si>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</si>
  <si>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Proposed Models</t>
  </si>
  <si>
    <t xml:space="preserve">The Systemwide Wage Scales is agnostic to setting and so all functional and foundational level have a proposed wage. We recommend that Region 1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</si>
  <si>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</si>
  <si>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</si>
  <si>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</si>
  <si>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</si>
  <si>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</si>
  <si>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</si>
  <si>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</si>
  <si>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</si>
  <si>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</si>
  <si>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</si>
  <si>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</si>
  <si>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</si>
  <si>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</si>
  <si>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</si>
  <si>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</si>
  <si>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</si>
  <si>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</si>
  <si>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</si>
  <si>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</si>
  <si>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</si>
  <si>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</si>
  <si>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</si>
  <si>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</si>
  <si>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</si>
  <si>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</si>
  <si>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F1</t>
  </si>
  <si>
    <t>not applicable</t>
  </si>
  <si>
    <t>P3</t>
  </si>
  <si>
    <t>Varies, but mostly P2/ECE II</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</si>
  <si>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</si>
  <si>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</si>
  <si>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</si>
  <si>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</si>
  <si>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</si>
  <si>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</si>
  <si>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Bachelor’s Degree with at least 18 hours in Early Childhood Education; sometimes requires valid Region 1 teaching certificate</t>
  </si>
  <si>
    <t>High School Diploma and Child Development Associate (CDA) credential</t>
  </si>
  <si>
    <r>
      <t xml:space="preserve">High School Diploma + one college course in Early Childhood Education </t>
    </r>
    <r>
      <rPr>
        <u/>
        <sz val="11"/>
        <color theme="1"/>
        <rFont val="Arial"/>
        <family val="2"/>
      </rPr>
      <t>or</t>
    </r>
    <r>
      <rPr>
        <sz val="11"/>
        <color theme="1"/>
        <rFont val="Arial"/>
        <family val="2"/>
      </rPr>
      <t xml:space="preserve"> 20 hours of training</t>
    </r>
  </si>
  <si>
    <t>Assistant Teacher Minimum Qualifications</t>
  </si>
  <si>
    <t>High School Diploma + Child Development Associate (CDA) credential</t>
  </si>
  <si>
    <t>Childcare Aide Minimum Qualifications</t>
  </si>
  <si>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</si>
  <si>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</si>
  <si>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</si>
  <si>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</si>
  <si>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</si>
  <si>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</si>
  <si>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</si>
  <si>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</si>
  <si>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</si>
  <si>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</si>
  <si>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Typically negotiated through a union contract. However, less than half of School-based teachers are covered by a contract.</t>
  </si>
  <si>
    <t xml:space="preserve">Decided by the leadership of the private for-profit business, nonprofit, or faith-based organization.  </t>
  </si>
  <si>
    <t xml:space="preserve">Decided by the owner.  </t>
  </si>
  <si>
    <t>2A | Lead Teacher -- Proposed Wage Scaling</t>
  </si>
  <si>
    <r>
      <t xml:space="preserve">P1 </t>
    </r>
    <r>
      <rPr>
        <i/>
        <sz val="11"/>
        <color rgb="FFFFFFFF"/>
        <rFont val="Arial"/>
        <family val="2"/>
      </rPr>
      <t>CDA</t>
    </r>
  </si>
  <si>
    <t>Years in Lane</t>
  </si>
  <si>
    <t>HSE</t>
  </si>
  <si>
    <t>BA</t>
  </si>
  <si>
    <t>MA</t>
  </si>
  <si>
    <t>Ed.D. or Ph.D.</t>
  </si>
  <si>
    <t>Hourly Wage Increments</t>
  </si>
  <si>
    <t>Proposed Pay Scale for Lead Teacher, Infant-Toddler</t>
  </si>
  <si>
    <t>Years of Experience</t>
  </si>
  <si>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</si>
  <si>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</si>
  <si>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</si>
  <si>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t>Min</t>
  </si>
  <si>
    <t>Median</t>
  </si>
  <si>
    <t>Max</t>
  </si>
  <si>
    <t>0-3 Years</t>
  </si>
  <si>
    <t>4-6 Years</t>
  </si>
  <si>
    <t>7-9 Years</t>
  </si>
  <si>
    <t>10-12 Years</t>
  </si>
  <si>
    <t>13-15 Years</t>
  </si>
  <si>
    <t>16+ Years</t>
  </si>
  <si>
    <t>Proposed Pay Scale for Lead Teacher, Preschool</t>
  </si>
  <si>
    <t>F1, F2, F3 HSE</t>
  </si>
  <si>
    <r>
      <t xml:space="preserve">P5 </t>
    </r>
    <r>
      <rPr>
        <i/>
        <sz val="11"/>
        <color rgb="FFFFFFFF"/>
        <rFont val="Arial"/>
        <family val="2"/>
      </rPr>
      <t>Ed.D. or Ph.D</t>
    </r>
  </si>
  <si>
    <t>2B | Lead Teacher -- Workforce Demographics</t>
  </si>
  <si>
    <t>Age Distribution, Region 1, 2022</t>
  </si>
  <si>
    <t>Education, Region 1, 2022</t>
  </si>
  <si>
    <t>Racial/Ethnic Distribution, Region 1, 2022</t>
  </si>
  <si>
    <t>Gender Distribution, Region 1, 2022</t>
  </si>
  <si>
    <t>Age</t>
  </si>
  <si>
    <t>Jobs</t>
  </si>
  <si>
    <t>Percentage</t>
  </si>
  <si>
    <t>Race/Ethnicity</t>
  </si>
  <si>
    <t>Gender</t>
  </si>
  <si>
    <t>14-18</t>
  </si>
  <si>
    <t>Less than high school</t>
  </si>
  <si>
    <t>White</t>
  </si>
  <si>
    <t>Males</t>
  </si>
  <si>
    <t>19-24</t>
  </si>
  <si>
    <t>High school</t>
  </si>
  <si>
    <t>Black/African American</t>
  </si>
  <si>
    <t>Females</t>
  </si>
  <si>
    <t>25-34</t>
  </si>
  <si>
    <t>Some college</t>
  </si>
  <si>
    <t>Hispanic/Latino (any race)</t>
  </si>
  <si>
    <t>35-44</t>
  </si>
  <si>
    <t>Associate's degree</t>
  </si>
  <si>
    <t>Two or More Races</t>
  </si>
  <si>
    <t>45-54</t>
  </si>
  <si>
    <t>Bachelor's degree</t>
  </si>
  <si>
    <t>Asian</t>
  </si>
  <si>
    <t>55-64</t>
  </si>
  <si>
    <t>Master's degree</t>
  </si>
  <si>
    <t>American Indian/Alaska Native</t>
  </si>
  <si>
    <t>65+</t>
  </si>
  <si>
    <t>Doctoral or professional degree</t>
  </si>
  <si>
    <t>Native Hawaiian/Other Pacific Islander</t>
  </si>
  <si>
    <t>2C | Lead Teacher -- Top Comparable Occupations</t>
  </si>
  <si>
    <t>Top Comparable Roles, Lead Teacher</t>
  </si>
  <si>
    <t>Occupation</t>
  </si>
  <si>
    <t>Share of overlapping skills</t>
  </si>
  <si>
    <t>Median Hourly Wage, 2022</t>
  </si>
  <si>
    <t>Difference from  Lead Teacher Wage</t>
  </si>
  <si>
    <r>
      <t xml:space="preserve">Employment Growth            </t>
    </r>
    <r>
      <rPr>
        <sz val="10"/>
        <color theme="0"/>
        <rFont val="Arial"/>
        <family val="2"/>
      </rPr>
      <t>(2001-2022)</t>
    </r>
  </si>
  <si>
    <r>
      <t xml:space="preserve">Median Hourly Wage Growth </t>
    </r>
    <r>
      <rPr>
        <sz val="10"/>
        <color theme="0"/>
        <rFont val="Arial"/>
        <family val="2"/>
      </rPr>
      <t>(2005-2022)</t>
    </r>
  </si>
  <si>
    <t>#</t>
  </si>
  <si>
    <t>%</t>
  </si>
  <si>
    <t>Lead Teacher</t>
  </si>
  <si>
    <t>Kindergarten Teacher</t>
  </si>
  <si>
    <t>Self-Enrichment Teacher</t>
  </si>
  <si>
    <t>Bank Teller</t>
  </si>
  <si>
    <t>Psychiatric Aide</t>
  </si>
  <si>
    <t>Office Clerk</t>
  </si>
  <si>
    <t>Lead Teacher, Employment Trends, Region 1 (2001-2022)</t>
  </si>
  <si>
    <t>Lead Teacher, Employment Growth, Region 1 (Indexed to 2001)</t>
  </si>
  <si>
    <t>Lead Teacher, Growth in Median Hourly Earnings, Region 1 (2005-2022)</t>
  </si>
  <si>
    <t>Lead Teacher, Median Hourly Wage Growth, Region 1 (Indexed to 2005)</t>
  </si>
  <si>
    <t>2E | Lead Teacher -- Occupation Flows</t>
  </si>
  <si>
    <t>Top Preceeding and Superseding Occupations, Region 1, 2022</t>
  </si>
  <si>
    <t>Previous</t>
  </si>
  <si>
    <t>Following</t>
  </si>
  <si>
    <t xml:space="preserve"> Occupation</t>
  </si>
  <si>
    <t>Preschool Teachers</t>
  </si>
  <si>
    <t>Teaching Assistants</t>
  </si>
  <si>
    <t>Postsecondary Teachers</t>
  </si>
  <si>
    <t>Social and Human Service Assistants</t>
  </si>
  <si>
    <t>Managers</t>
  </si>
  <si>
    <t>Secondary School Teachers</t>
  </si>
  <si>
    <t>Elementary School Teachers</t>
  </si>
  <si>
    <t>Childcare Workers</t>
  </si>
  <si>
    <t>Secretaries and Admin. Assistants</t>
  </si>
  <si>
    <t>Customer Service Representatives</t>
  </si>
  <si>
    <t>Retail Salespersons</t>
  </si>
  <si>
    <t>Supervisors of Office and Admin. Support Occupations</t>
  </si>
  <si>
    <t>2D | Lead Teacher -- Employment and Wage Trends</t>
  </si>
  <si>
    <t>Lead Teacher, Employment Trends (2001-2022)</t>
  </si>
  <si>
    <t>Region 1</t>
  </si>
  <si>
    <t>Michigan</t>
  </si>
  <si>
    <t>United States</t>
  </si>
  <si>
    <t>Lead Teacher, Employment Growth (Indexed to 2001)</t>
  </si>
  <si>
    <t>Lead Teacher (Average of Infant-Toddler and Preschool), Growth in Median Hourly Earnings (2005-2022)</t>
  </si>
  <si>
    <t>Lead Teacher (Average of Infant-Toddler and Preschool), Median Hourly Wage Growth (Indexed to 2005)</t>
  </si>
  <si>
    <t xml:space="preserve">Region 1 </t>
  </si>
  <si>
    <t>2F | Lead Teacher -- Real-time Demand</t>
  </si>
  <si>
    <t>Online Ads and Median Wages, Lead Teacher, Region 1</t>
  </si>
  <si>
    <t>Top Posting Employers, Lead Teacher, Region 1 (Jan. 2022 - Jul. 2023)</t>
  </si>
  <si>
    <t>Date</t>
  </si>
  <si>
    <t>Job Postings</t>
  </si>
  <si>
    <t>Median Advertised Wage</t>
  </si>
  <si>
    <t>Employer</t>
  </si>
  <si>
    <t>Online Postings</t>
  </si>
  <si>
    <t>Median Posting Duration</t>
  </si>
  <si>
    <t>N/A</t>
  </si>
  <si>
    <t>Sault Ste. Marie Tribe of Chippewa Indians</t>
  </si>
  <si>
    <t>43 days</t>
  </si>
  <si>
    <t>Bhk Child Development Board</t>
  </si>
  <si>
    <t>42 days</t>
  </si>
  <si>
    <t>Inter-Tribal Council Of Michigan</t>
  </si>
  <si>
    <t>17 days</t>
  </si>
  <si>
    <t>Country Schoolhouse</t>
  </si>
  <si>
    <t>46 days</t>
  </si>
  <si>
    <t>Bay College</t>
  </si>
  <si>
    <t>60 days</t>
  </si>
  <si>
    <t>Iron Mountain</t>
  </si>
  <si>
    <t>n/a</t>
  </si>
  <si>
    <t>Kids Town Childcare Center</t>
  </si>
  <si>
    <t>53 days</t>
  </si>
  <si>
    <t>Ishpeming Public School District 1</t>
  </si>
  <si>
    <t>Hannahville Indian Community</t>
  </si>
  <si>
    <t>18 days</t>
  </si>
  <si>
    <t>Iron Mountain - Kingsford Community Schools</t>
  </si>
  <si>
    <t>32 days</t>
  </si>
  <si>
    <t>2G | Lead Teacher -- Commuting Patterns</t>
  </si>
  <si>
    <t>3A | Assistant Teacher -- Proposed Wage Scaling</t>
  </si>
  <si>
    <t>Proposed Pay Scale for Assistant Teacher, Infant-Toddler</t>
  </si>
  <si>
    <t>Proposed Pay Scale for Assistant Teacher, Preschool</t>
  </si>
  <si>
    <t>3B | Assistant Teacher -- Workforce Demographics</t>
  </si>
  <si>
    <t>3C | Assistant Teacher -- Top Comparable Occupations</t>
  </si>
  <si>
    <t>Top Comparable Roles, Assistant Teacher</t>
  </si>
  <si>
    <t xml:space="preserve">Difference from Assistant Teacher Wage            </t>
  </si>
  <si>
    <t>Assistant Teacher</t>
  </si>
  <si>
    <t>Tutor</t>
  </si>
  <si>
    <t>Administrative Assistant</t>
  </si>
  <si>
    <t>Customer Service Representative</t>
  </si>
  <si>
    <t>Assistant Teacher, Employment Trends, Region 1 (2001-2022)</t>
  </si>
  <si>
    <t>Assistant Teacher, Employment Growth, Region 1 (Indexed to 2001)</t>
  </si>
  <si>
    <t>Assistant Teacher, Growth in Median Hourly Earnings, Region 1 (2005-2022)</t>
  </si>
  <si>
    <t>Assistant Teacher, Median Hourly Wage Growth, Region 1 (Indexed to 2005)</t>
  </si>
  <si>
    <t>3D | Assistant Teacher -- Employment and Wage Trends</t>
  </si>
  <si>
    <t>Assistant Teacher, Employment Trends (2001-2022)</t>
  </si>
  <si>
    <t>Assistant Teacher, Employment Growth (Indexed to 2001)</t>
  </si>
  <si>
    <t>Assistant Teacher, Growth in Median Hourly Earnings (2005-2022)</t>
  </si>
  <si>
    <t>Assistant Teacher, Median Hourly Wage Growth (Indexed to 2005)</t>
  </si>
  <si>
    <t>3E | Assistant Teacher -- Occupation Flows</t>
  </si>
  <si>
    <t>Top Preceeding and Superseding Occupations, Region 1</t>
  </si>
  <si>
    <t>Life, Physical, and Social Science Technicians</t>
  </si>
  <si>
    <t>Software Developers</t>
  </si>
  <si>
    <t>Teaching Assistants, Postsecondary</t>
  </si>
  <si>
    <t>Tutors</t>
  </si>
  <si>
    <t>3F | Assistant Teacher -- Real-time Demand</t>
  </si>
  <si>
    <t>Online Ads and Median Wages, Assistant Teacher, Region 1</t>
  </si>
  <si>
    <t>Top Posting Employers, Assistant Teacher, Region 1 (Jan. 2022 - Jul. 2023)</t>
  </si>
  <si>
    <t>41 days</t>
  </si>
  <si>
    <t>Dickinson Iron Intermediate School District</t>
  </si>
  <si>
    <t>Munising Public Schools</t>
  </si>
  <si>
    <t>Gocaa Head Start</t>
  </si>
  <si>
    <t>37 days</t>
  </si>
  <si>
    <t>YMCA</t>
  </si>
  <si>
    <t>Watersmeet Township School District</t>
  </si>
  <si>
    <t>Gogebic-Ontonagon Intermediate School District</t>
  </si>
  <si>
    <t>Baraga Area Schools</t>
  </si>
  <si>
    <t>Tfco</t>
  </si>
  <si>
    <t>3G | Assistant Teacher -- Commuting Patterns</t>
  </si>
  <si>
    <t>4A | Aide/Floater -- Proposed Wage Scaling</t>
  </si>
  <si>
    <t>Aide/Floater, Infant-Toddler</t>
  </si>
  <si>
    <t>Proposed Pay Scale for Aide/Floater, Infant-Toddler</t>
  </si>
  <si>
    <t>Proposed Pay Scale for Aide/Floater, Preschool</t>
  </si>
  <si>
    <t>4B | Aide/Floater -- Workforce Demographics</t>
  </si>
  <si>
    <t>4C | Aide/Floater -- Top Comparable Occupations</t>
  </si>
  <si>
    <t>Top Comparable Roles, Aide/Floater</t>
  </si>
  <si>
    <t xml:space="preserve">Difference from Aide/Floater Wage            </t>
  </si>
  <si>
    <t>Aide/Floater</t>
  </si>
  <si>
    <t>Home Health and Personal Care Aide</t>
  </si>
  <si>
    <t>Library Assistant</t>
  </si>
  <si>
    <t>Waiter/Waitress</t>
  </si>
  <si>
    <t>Library Technician</t>
  </si>
  <si>
    <t>Aide/Floater, Employment Trends, Region 1 (2001-2022)</t>
  </si>
  <si>
    <t>Aide/Floater, Employment Growth, Region 1 (Indexed to 2001)</t>
  </si>
  <si>
    <t>Aide/Floater, Growth in Median Hourly Earnings, Region 1 (2005-2022)</t>
  </si>
  <si>
    <t>Aide/Floater, Median Hourly Wage Growth, Region 1 (Indexed to 2005)</t>
  </si>
  <si>
    <t>4D | Aide/Floater -- Employment and Wage Trends</t>
  </si>
  <si>
    <t>Aide/Floater, Employment Trends (2001-2022)</t>
  </si>
  <si>
    <t>Aide/Floater, Employment Growth (Indexed to 2001)</t>
  </si>
  <si>
    <t>Aide/Floater, Growth in Median Hourly Earnings (2005-2022)</t>
  </si>
  <si>
    <t>Aide/Floater, Median Hourly Wage Growth (Indexed to 2005)</t>
  </si>
  <si>
    <t>4E | Aide/Floater -- Occupation Flows</t>
  </si>
  <si>
    <t>Waiters and Waitresses</t>
  </si>
  <si>
    <t>Teaching Assistants, Except Postsecondary</t>
  </si>
  <si>
    <t>Recreation Workers</t>
  </si>
  <si>
    <t>Cashiers</t>
  </si>
  <si>
    <t>Registered Nurses</t>
  </si>
  <si>
    <t>Fast Food and Counter Workers</t>
  </si>
  <si>
    <t>4F | Aide/Floater -- Real-time Demand</t>
  </si>
  <si>
    <t>Online Ads and Median Wages, Aide/Floater, Region 1</t>
  </si>
  <si>
    <t>Top Posting Employers, Aide/Floater, Region 1 (Jan. 2022 - Jul. 2023)</t>
  </si>
  <si>
    <t>25 days</t>
  </si>
  <si>
    <t>Care Group</t>
  </si>
  <si>
    <t>24 days</t>
  </si>
  <si>
    <t>40 days</t>
  </si>
  <si>
    <t>Community Action</t>
  </si>
  <si>
    <t>23 days</t>
  </si>
  <si>
    <t>21 days</t>
  </si>
  <si>
    <t>Rainbow Connection Daycare</t>
  </si>
  <si>
    <t>36 days</t>
  </si>
  <si>
    <t>Northern Lights Ymca</t>
  </si>
  <si>
    <t>The DOG Nanny Group</t>
  </si>
  <si>
    <t>Sault Tribe Of Chippewa Indians</t>
  </si>
  <si>
    <t>4G | Aide/Floater -- Commuting Patterns</t>
  </si>
  <si>
    <t>5A | Substitute -- Proposed Wage Scaling</t>
  </si>
  <si>
    <t xml:space="preserve">- </t>
  </si>
  <si>
    <t>Proposed Pay Scale for Substitute, Infant-Toddler</t>
  </si>
  <si>
    <t>Proposed Pay Scale for Substitute, Preschool</t>
  </si>
  <si>
    <t>5B | Substitute -- Workforce Demographics</t>
  </si>
  <si>
    <t>5C | Substitute -- Top Comparable Occupations</t>
  </si>
  <si>
    <t>Top Comparable Roles, Substitute</t>
  </si>
  <si>
    <t xml:space="preserve">Difference from Substitute Wage            </t>
  </si>
  <si>
    <t>Substitute</t>
  </si>
  <si>
    <t>Substitute, Employment Trends, Region 1 (2001-2022)</t>
  </si>
  <si>
    <t>Substitute, Employment Growth, Region 1 (Indexed to 2001)</t>
  </si>
  <si>
    <t>Substitute, Growth in Median Hourly Earnings, Region 1 (2005-2022)</t>
  </si>
  <si>
    <t>Substitute, Median Hourly Wage Growth, Region 1 (Indexed to 2005)</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</si>
  <si>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</si>
  <si>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</si>
  <si>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</si>
  <si>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</si>
  <si>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</si>
  <si>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</si>
  <si>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Teachers and Instructors</t>
  </si>
  <si>
    <t>Coaches and Scouts</t>
  </si>
  <si>
    <t>Middle School Teachers</t>
  </si>
  <si>
    <t xml:space="preserve">  </t>
  </si>
  <si>
    <t>5F | Substitute -- Real-time Demand</t>
  </si>
  <si>
    <t>Online Ads and Median Wages, Substitute, Region 1</t>
  </si>
  <si>
    <t>Top Posting Employers, Substitute, Region 1 (Jan. 2022 - Jul. 2023)</t>
  </si>
  <si>
    <t>Ess</t>
  </si>
  <si>
    <t>Ess Midwest</t>
  </si>
  <si>
    <t>Ironwood Area Schools of Gogebic County</t>
  </si>
  <si>
    <t>Willsub</t>
  </si>
  <si>
    <t>Ewen Trout Creek School</t>
  </si>
  <si>
    <t>Gogebic-Ontonagon ISD</t>
  </si>
  <si>
    <t>5G | Substitute -- Commuting Patterns</t>
  </si>
  <si>
    <t>Region 1 - Alger, Baraga, Chippewa, Delta, Dickinson, Gogebic, Houghton, Iron, Keweenaw, Luce, Mackinac, Marquette, Menominee, Ontonagon, and Schoolcraft Counties</t>
  </si>
  <si>
    <t>Median Hourly rate for Step 1 Teacher Salary ($41,010 a year) + 10%</t>
  </si>
  <si>
    <t xml:space="preserve">Number of Occupations </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</si>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</sst>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9" fontId="0" fillId="0" borderId="0" xfId="3" applyFont="1"/>
    <xf numFmtId="7" fontId="3" fillId="0" borderId="0" xfId="1" applyNumberFormat="1" applyFont="1" applyFill="1" applyBorder="1" applyAlignment="1">
      <alignment horizontal="center" vertical="center"/>
    </xf>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D45D00"/>
      <color rgb="FF003E51"/>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21.45473149815151</c:v>
                </c:pt>
                <c:pt idx="1">
                  <c:v>21.991099785605297</c:v>
                </c:pt>
                <c:pt idx="2">
                  <c:v>22.540877280245429</c:v>
                </c:pt>
                <c:pt idx="3">
                  <c:v>23.104399212251561</c:v>
                </c:pt>
                <c:pt idx="4">
                  <c:v>23.68200919255785</c:v>
                </c:pt>
                <c:pt idx="5">
                  <c:v>24.274059422371792</c:v>
                </c:pt>
                <c:pt idx="6">
                  <c:v>24.880910907931085</c:v>
                </c:pt>
                <c:pt idx="7">
                  <c:v>25.502933680629361</c:v>
                </c:pt>
                <c:pt idx="8">
                  <c:v>26.140507022645092</c:v>
                </c:pt>
                <c:pt idx="9">
                  <c:v>26.794019698211219</c:v>
                </c:pt>
                <c:pt idx="10">
                  <c:v>27.463870190666498</c:v>
                </c:pt>
                <c:pt idx="11">
                  <c:v>28.150466945433159</c:v>
                </c:pt>
                <c:pt idx="12">
                  <c:v>28.854228619068987</c:v>
                </c:pt>
                <c:pt idx="13">
                  <c:v>29.575584334545709</c:v>
                </c:pt>
                <c:pt idx="14">
                  <c:v>30.314973942909351</c:v>
                </c:pt>
                <c:pt idx="15">
                  <c:v>31.072848291482082</c:v>
                </c:pt>
                <c:pt idx="16">
                  <c:v>31.849669498769131</c:v>
                </c:pt>
                <c:pt idx="17">
                  <c:v>32.645911236238355</c:v>
                </c:pt>
                <c:pt idx="18">
                  <c:v>33.462059017144313</c:v>
                </c:pt>
                <c:pt idx="19">
                  <c:v>34.298610492572919</c:v>
                </c:pt>
                <c:pt idx="20">
                  <c:v>35.15607575488724</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26.851785714285715</c:v>
                </c:pt>
                <c:pt idx="1">
                  <c:v>27.523080357142856</c:v>
                </c:pt>
                <c:pt idx="2">
                  <c:v>28.211157366071426</c:v>
                </c:pt>
                <c:pt idx="3">
                  <c:v>28.916436300223207</c:v>
                </c:pt>
                <c:pt idx="4">
                  <c:v>29.639347207728786</c:v>
                </c:pt>
                <c:pt idx="5">
                  <c:v>30.380330887922003</c:v>
                </c:pt>
                <c:pt idx="6">
                  <c:v>31.139839160120051</c:v>
                </c:pt>
                <c:pt idx="7">
                  <c:v>31.918335139123048</c:v>
                </c:pt>
                <c:pt idx="8">
                  <c:v>32.716293517601123</c:v>
                </c:pt>
                <c:pt idx="9">
                  <c:v>33.534200855541151</c:v>
                </c:pt>
                <c:pt idx="10">
                  <c:v>34.372555876929674</c:v>
                </c:pt>
                <c:pt idx="11">
                  <c:v>35.231869773852914</c:v>
                </c:pt>
                <c:pt idx="12">
                  <c:v>36.112666518199234</c:v>
                </c:pt>
                <c:pt idx="13">
                  <c:v>37.01548318115421</c:v>
                </c:pt>
                <c:pt idx="14">
                  <c:v>37.940870260683063</c:v>
                </c:pt>
                <c:pt idx="15">
                  <c:v>38.889392017200137</c:v>
                </c:pt>
                <c:pt idx="16">
                  <c:v>39.861626817630139</c:v>
                </c:pt>
                <c:pt idx="17">
                  <c:v>40.85816748807089</c:v>
                </c:pt>
                <c:pt idx="18">
                  <c:v>41.879621675272659</c:v>
                </c:pt>
                <c:pt idx="19">
                  <c:v>42.926612217154471</c:v>
                </c:pt>
                <c:pt idx="20">
                  <c:v>43.999777522583329</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29.536964285714287</c:v>
                </c:pt>
                <c:pt idx="1">
                  <c:v>30.275388392857142</c:v>
                </c:pt>
                <c:pt idx="2">
                  <c:v>31.032273102678566</c:v>
                </c:pt>
                <c:pt idx="3">
                  <c:v>31.808079930245526</c:v>
                </c:pt>
                <c:pt idx="4">
                  <c:v>32.603281928501659</c:v>
                </c:pt>
                <c:pt idx="5">
                  <c:v>33.418363976714197</c:v>
                </c:pt>
                <c:pt idx="6">
                  <c:v>34.253823076132051</c:v>
                </c:pt>
                <c:pt idx="7">
                  <c:v>35.110168653035352</c:v>
                </c:pt>
                <c:pt idx="8">
                  <c:v>35.987922869361235</c:v>
                </c:pt>
                <c:pt idx="9">
                  <c:v>36.887620941095264</c:v>
                </c:pt>
                <c:pt idx="10">
                  <c:v>37.809811464622641</c:v>
                </c:pt>
                <c:pt idx="11">
                  <c:v>38.7550567512382</c:v>
                </c:pt>
                <c:pt idx="12">
                  <c:v>39.723933170019151</c:v>
                </c:pt>
                <c:pt idx="13">
                  <c:v>40.717031499269623</c:v>
                </c:pt>
                <c:pt idx="14">
                  <c:v>41.73495728675136</c:v>
                </c:pt>
                <c:pt idx="15">
                  <c:v>42.778331218920144</c:v>
                </c:pt>
                <c:pt idx="16">
                  <c:v>43.847789499393144</c:v>
                </c:pt>
                <c:pt idx="17">
                  <c:v>44.943984236877967</c:v>
                </c:pt>
                <c:pt idx="18">
                  <c:v>46.067583842799912</c:v>
                </c:pt>
                <c:pt idx="19">
                  <c:v>47.219273438869905</c:v>
                </c:pt>
                <c:pt idx="20">
                  <c:v>48.399755274841645</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32.490660714285717</c:v>
                </c:pt>
                <c:pt idx="1">
                  <c:v>33.302927232142856</c:v>
                </c:pt>
                <c:pt idx="2">
                  <c:v>34.135500412946428</c:v>
                </c:pt>
                <c:pt idx="3">
                  <c:v>34.988887923270084</c:v>
                </c:pt>
                <c:pt idx="4">
                  <c:v>35.863610121351833</c:v>
                </c:pt>
                <c:pt idx="5">
                  <c:v>36.760200374385626</c:v>
                </c:pt>
                <c:pt idx="6">
                  <c:v>37.679205383745263</c:v>
                </c:pt>
                <c:pt idx="7">
                  <c:v>38.621185518338891</c:v>
                </c:pt>
                <c:pt idx="8">
                  <c:v>39.586715156297359</c:v>
                </c:pt>
                <c:pt idx="9">
                  <c:v>40.576383035204792</c:v>
                </c:pt>
                <c:pt idx="10">
                  <c:v>41.590792611084908</c:v>
                </c:pt>
                <c:pt idx="11">
                  <c:v>42.630562426362026</c:v>
                </c:pt>
                <c:pt idx="12">
                  <c:v>43.696326487021075</c:v>
                </c:pt>
                <c:pt idx="13">
                  <c:v>44.788734649196599</c:v>
                </c:pt>
                <c:pt idx="14">
                  <c:v>45.90845301542651</c:v>
                </c:pt>
                <c:pt idx="15">
                  <c:v>47.056164340812167</c:v>
                </c:pt>
                <c:pt idx="16">
                  <c:v>48.232568449332469</c:v>
                </c:pt>
                <c:pt idx="17">
                  <c:v>49.438382660565779</c:v>
                </c:pt>
                <c:pt idx="18">
                  <c:v>50.674342227079919</c:v>
                </c:pt>
                <c:pt idx="19">
                  <c:v>51.941200782756916</c:v>
                </c:pt>
                <c:pt idx="20">
                  <c:v>53.23973080232583</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35.739726785714289</c:v>
                </c:pt>
                <c:pt idx="1">
                  <c:v>36.633219955357141</c:v>
                </c:pt>
                <c:pt idx="2">
                  <c:v>37.549050454241069</c:v>
                </c:pt>
                <c:pt idx="3">
                  <c:v>38.487776715597093</c:v>
                </c:pt>
                <c:pt idx="4">
                  <c:v>39.449971133487018</c:v>
                </c:pt>
                <c:pt idx="5">
                  <c:v>40.436220411824188</c:v>
                </c:pt>
                <c:pt idx="6">
                  <c:v>41.447125922119788</c:v>
                </c:pt>
                <c:pt idx="7">
                  <c:v>42.483304070172778</c:v>
                </c:pt>
                <c:pt idx="8">
                  <c:v>43.545386671927091</c:v>
                </c:pt>
                <c:pt idx="9">
                  <c:v>44.634021338725262</c:v>
                </c:pt>
                <c:pt idx="10">
                  <c:v>45.749871872193388</c:v>
                </c:pt>
                <c:pt idx="11">
                  <c:v>46.893618668998222</c:v>
                </c:pt>
                <c:pt idx="12">
                  <c:v>48.065959135723176</c:v>
                </c:pt>
                <c:pt idx="13">
                  <c:v>49.26760811411625</c:v>
                </c:pt>
                <c:pt idx="14">
                  <c:v>50.499298316969153</c:v>
                </c:pt>
                <c:pt idx="15">
                  <c:v>51.761780774893374</c:v>
                </c:pt>
                <c:pt idx="16">
                  <c:v>53.055825294265702</c:v>
                </c:pt>
                <c:pt idx="17">
                  <c:v>54.382220926622338</c:v>
                </c:pt>
                <c:pt idx="18">
                  <c:v>55.741776449787892</c:v>
                </c:pt>
                <c:pt idx="19">
                  <c:v>57.135320861032582</c:v>
                </c:pt>
                <c:pt idx="20">
                  <c:v>58.563703882558393</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39.313699464285719</c:v>
                </c:pt>
                <c:pt idx="1">
                  <c:v>40.296541950892859</c:v>
                </c:pt>
                <c:pt idx="2">
                  <c:v>41.303955499665179</c:v>
                </c:pt>
                <c:pt idx="3">
                  <c:v>42.336554387156802</c:v>
                </c:pt>
                <c:pt idx="4">
                  <c:v>43.394968246835717</c:v>
                </c:pt>
                <c:pt idx="5">
                  <c:v>44.479842453006604</c:v>
                </c:pt>
                <c:pt idx="6">
                  <c:v>45.591838514331762</c:v>
                </c:pt>
                <c:pt idx="7">
                  <c:v>46.731634477190049</c:v>
                </c:pt>
                <c:pt idx="8">
                  <c:v>47.899925339119797</c:v>
                </c:pt>
                <c:pt idx="9">
                  <c:v>49.097423472597789</c:v>
                </c:pt>
                <c:pt idx="10">
                  <c:v>50.324859059412731</c:v>
                </c:pt>
                <c:pt idx="11">
                  <c:v>51.582980535898045</c:v>
                </c:pt>
                <c:pt idx="12">
                  <c:v>52.872555049295492</c:v>
                </c:pt>
                <c:pt idx="13">
                  <c:v>54.194368925527876</c:v>
                </c:pt>
                <c:pt idx="14">
                  <c:v>55.549228148666067</c:v>
                </c:pt>
                <c:pt idx="15">
                  <c:v>56.937958852382714</c:v>
                </c:pt>
                <c:pt idx="16">
                  <c:v>58.361407823692275</c:v>
                </c:pt>
                <c:pt idx="17">
                  <c:v>59.820443019284575</c:v>
                </c:pt>
                <c:pt idx="18">
                  <c:v>61.315954094766681</c:v>
                </c:pt>
                <c:pt idx="19">
                  <c:v>62.848852947135846</c:v>
                </c:pt>
                <c:pt idx="20">
                  <c:v>64.42007427081424</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1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3.2008830022074962E-2</c:v>
                </c:pt>
                <c:pt idx="2">
                  <c:v>0.1556291390728477</c:v>
                </c:pt>
                <c:pt idx="3">
                  <c:v>0.35430463576158927</c:v>
                </c:pt>
                <c:pt idx="4">
                  <c:v>0.51545253863134655</c:v>
                </c:pt>
                <c:pt idx="5">
                  <c:v>0.54746136865342154</c:v>
                </c:pt>
                <c:pt idx="6">
                  <c:v>0.57505518763796892</c:v>
                </c:pt>
                <c:pt idx="7">
                  <c:v>0.57064017660044142</c:v>
                </c:pt>
                <c:pt idx="8">
                  <c:v>0.72737306843267102</c:v>
                </c:pt>
                <c:pt idx="9">
                  <c:v>0.60375275938189832</c:v>
                </c:pt>
                <c:pt idx="10">
                  <c:v>0.55408388520971297</c:v>
                </c:pt>
                <c:pt idx="11">
                  <c:v>0.68101545253863127</c:v>
                </c:pt>
                <c:pt idx="12">
                  <c:v>0.66556291390728461</c:v>
                </c:pt>
                <c:pt idx="13">
                  <c:v>0.80794701986754947</c:v>
                </c:pt>
                <c:pt idx="14">
                  <c:v>0.38300220750551861</c:v>
                </c:pt>
                <c:pt idx="15">
                  <c:v>0.48344370860927138</c:v>
                </c:pt>
                <c:pt idx="16">
                  <c:v>0.59933774834437081</c:v>
                </c:pt>
                <c:pt idx="17">
                  <c:v>0.6324503311258276</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6.4528136918563059E-2</c:v>
                </c:pt>
                <c:pt idx="2">
                  <c:v>0.12550245661815695</c:v>
                </c:pt>
                <c:pt idx="3">
                  <c:v>0.12252526751412524</c:v>
                </c:pt>
                <c:pt idx="4">
                  <c:v>0.13342355711716858</c:v>
                </c:pt>
                <c:pt idx="5">
                  <c:v>0.11292958940545873</c:v>
                </c:pt>
                <c:pt idx="6">
                  <c:v>0.23528954250271072</c:v>
                </c:pt>
                <c:pt idx="7">
                  <c:v>0.19160978774165338</c:v>
                </c:pt>
                <c:pt idx="8">
                  <c:v>0.14478195933577856</c:v>
                </c:pt>
                <c:pt idx="9">
                  <c:v>9.8652583235818853E-2</c:v>
                </c:pt>
                <c:pt idx="10">
                  <c:v>0.10816628124262403</c:v>
                </c:pt>
                <c:pt idx="11">
                  <c:v>0.10800509776243659</c:v>
                </c:pt>
                <c:pt idx="12">
                  <c:v>0.16062735626277938</c:v>
                </c:pt>
                <c:pt idx="13">
                  <c:v>0.25515244225888956</c:v>
                </c:pt>
                <c:pt idx="14">
                  <c:v>0.2339072078363455</c:v>
                </c:pt>
                <c:pt idx="15">
                  <c:v>0.20993301012931767</c:v>
                </c:pt>
                <c:pt idx="16">
                  <c:v>0.19732251542502241</c:v>
                </c:pt>
                <c:pt idx="17">
                  <c:v>0.34164475351967966</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2.9175158508729496E-2</c:v>
                </c:pt>
                <c:pt idx="2">
                  <c:v>5.5776454276413291E-2</c:v>
                </c:pt>
                <c:pt idx="3">
                  <c:v>9.139412268446323E-2</c:v>
                </c:pt>
                <c:pt idx="4">
                  <c:v>0.11910252947501507</c:v>
                </c:pt>
                <c:pt idx="5">
                  <c:v>0.15740235131795224</c:v>
                </c:pt>
                <c:pt idx="6">
                  <c:v>0.1881498813516502</c:v>
                </c:pt>
                <c:pt idx="7">
                  <c:v>0.20575936703525671</c:v>
                </c:pt>
                <c:pt idx="8">
                  <c:v>0.22286811897209746</c:v>
                </c:pt>
                <c:pt idx="9">
                  <c:v>0.24252800759632134</c:v>
                </c:pt>
                <c:pt idx="10">
                  <c:v>0.26911365111614605</c:v>
                </c:pt>
                <c:pt idx="11">
                  <c:v>0.29608730245078441</c:v>
                </c:pt>
                <c:pt idx="12">
                  <c:v>0.32878867302751075</c:v>
                </c:pt>
                <c:pt idx="13">
                  <c:v>0.37359733022280672</c:v>
                </c:pt>
                <c:pt idx="14">
                  <c:v>0.41982793376923699</c:v>
                </c:pt>
                <c:pt idx="15">
                  <c:v>0.47607795198254477</c:v>
                </c:pt>
                <c:pt idx="16">
                  <c:v>0.48093556078764194</c:v>
                </c:pt>
                <c:pt idx="17">
                  <c:v>0.63017271267928177</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0.215</c:v>
                </c:pt>
                <c:pt idx="1">
                  <c:v>0.14000000000000001</c:v>
                </c:pt>
                <c:pt idx="2">
                  <c:v>9.0999999999999998E-2</c:v>
                </c:pt>
                <c:pt idx="3">
                  <c:v>8.1000000000000003E-2</c:v>
                </c:pt>
                <c:pt idx="4">
                  <c:v>6.9000000000000006E-2</c:v>
                </c:pt>
                <c:pt idx="5">
                  <c:v>6.8000000000000005E-2</c:v>
                </c:pt>
                <c:pt idx="6">
                  <c:v>6.6343434343434343E-2</c:v>
                </c:pt>
                <c:pt idx="7">
                  <c:v>6.5696969696969698E-2</c:v>
                </c:pt>
                <c:pt idx="8">
                  <c:v>6.4686868686868682E-2</c:v>
                </c:pt>
                <c:pt idx="9">
                  <c:v>5.8989898989898988E-2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0.18</c:v>
                </c:pt>
                <c:pt idx="1">
                  <c:v>0.152</c:v>
                </c:pt>
                <c:pt idx="2">
                  <c:v>0.123</c:v>
                </c:pt>
                <c:pt idx="3">
                  <c:v>0.104</c:v>
                </c:pt>
                <c:pt idx="4">
                  <c:v>0.1</c:v>
                </c:pt>
                <c:pt idx="5">
                  <c:v>9.4E-2</c:v>
                </c:pt>
                <c:pt idx="6">
                  <c:v>8.7999999999999995E-2</c:v>
                </c:pt>
                <c:pt idx="7">
                  <c:v>7.0999999999999994E-2</c:v>
                </c:pt>
                <c:pt idx="8">
                  <c:v>6.9000000000000006E-2</c:v>
                </c:pt>
                <c:pt idx="9">
                  <c:v>6.7000000000000004E-2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#,##0</c:formatCode>
                <c:ptCount val="60"/>
                <c:pt idx="0">
                  <c:v>26</c:v>
                </c:pt>
                <c:pt idx="1">
                  <c:v>22</c:v>
                </c:pt>
                <c:pt idx="2">
                  <c:v>17</c:v>
                </c:pt>
                <c:pt idx="3">
                  <c:v>12</c:v>
                </c:pt>
                <c:pt idx="4">
                  <c:v>12</c:v>
                </c:pt>
                <c:pt idx="5">
                  <c:v>12</c:v>
                </c:pt>
                <c:pt idx="6">
                  <c:v>17</c:v>
                </c:pt>
                <c:pt idx="7">
                  <c:v>16</c:v>
                </c:pt>
                <c:pt idx="8">
                  <c:v>11</c:v>
                </c:pt>
                <c:pt idx="9">
                  <c:v>3</c:v>
                </c:pt>
                <c:pt idx="10">
                  <c:v>7</c:v>
                </c:pt>
                <c:pt idx="11">
                  <c:v>8</c:v>
                </c:pt>
                <c:pt idx="12">
                  <c:v>6</c:v>
                </c:pt>
                <c:pt idx="13">
                  <c:v>6</c:v>
                </c:pt>
                <c:pt idx="14">
                  <c:v>3</c:v>
                </c:pt>
                <c:pt idx="15">
                  <c:v>2</c:v>
                </c:pt>
                <c:pt idx="16">
                  <c:v>2</c:v>
                </c:pt>
                <c:pt idx="17">
                  <c:v>3</c:v>
                </c:pt>
                <c:pt idx="18">
                  <c:v>1</c:v>
                </c:pt>
                <c:pt idx="19">
                  <c:v>3</c:v>
                </c:pt>
                <c:pt idx="20">
                  <c:v>2</c:v>
                </c:pt>
                <c:pt idx="21">
                  <c:v>5</c:v>
                </c:pt>
                <c:pt idx="22">
                  <c:v>8</c:v>
                </c:pt>
                <c:pt idx="23">
                  <c:v>8</c:v>
                </c:pt>
                <c:pt idx="24">
                  <c:v>7</c:v>
                </c:pt>
                <c:pt idx="25">
                  <c:v>9</c:v>
                </c:pt>
                <c:pt idx="26">
                  <c:v>5</c:v>
                </c:pt>
                <c:pt idx="27">
                  <c:v>6</c:v>
                </c:pt>
                <c:pt idx="28">
                  <c:v>3</c:v>
                </c:pt>
                <c:pt idx="29">
                  <c:v>6</c:v>
                </c:pt>
                <c:pt idx="30">
                  <c:v>5</c:v>
                </c:pt>
                <c:pt idx="31">
                  <c:v>8</c:v>
                </c:pt>
                <c:pt idx="32">
                  <c:v>10</c:v>
                </c:pt>
                <c:pt idx="33">
                  <c:v>12</c:v>
                </c:pt>
                <c:pt idx="34">
                  <c:v>13</c:v>
                </c:pt>
                <c:pt idx="35">
                  <c:v>19</c:v>
                </c:pt>
                <c:pt idx="36">
                  <c:v>19</c:v>
                </c:pt>
                <c:pt idx="37">
                  <c:v>17</c:v>
                </c:pt>
                <c:pt idx="38">
                  <c:v>10</c:v>
                </c:pt>
                <c:pt idx="39">
                  <c:v>11</c:v>
                </c:pt>
                <c:pt idx="40">
                  <c:v>10</c:v>
                </c:pt>
                <c:pt idx="41">
                  <c:v>6</c:v>
                </c:pt>
                <c:pt idx="42">
                  <c:v>3</c:v>
                </c:pt>
                <c:pt idx="43">
                  <c:v>4</c:v>
                </c:pt>
                <c:pt idx="44">
                  <c:v>4</c:v>
                </c:pt>
                <c:pt idx="45">
                  <c:v>4</c:v>
                </c:pt>
                <c:pt idx="46">
                  <c:v>5</c:v>
                </c:pt>
                <c:pt idx="47">
                  <c:v>7</c:v>
                </c:pt>
                <c:pt idx="48">
                  <c:v>6</c:v>
                </c:pt>
                <c:pt idx="49">
                  <c:v>9</c:v>
                </c:pt>
                <c:pt idx="50">
                  <c:v>6</c:v>
                </c:pt>
                <c:pt idx="51">
                  <c:v>7</c:v>
                </c:pt>
                <c:pt idx="52">
                  <c:v>9</c:v>
                </c:pt>
                <c:pt idx="53">
                  <c:v>8</c:v>
                </c:pt>
                <c:pt idx="54">
                  <c:v>8</c:v>
                </c:pt>
                <c:pt idx="55">
                  <c:v>11</c:v>
                </c:pt>
                <c:pt idx="56">
                  <c:v>18</c:v>
                </c:pt>
                <c:pt idx="57">
                  <c:v>17</c:v>
                </c:pt>
                <c:pt idx="58">
                  <c:v>17</c:v>
                </c:pt>
                <c:pt idx="59">
                  <c:v>25</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Sault Ste. Marie Tribe of Chippewa Indians</c:v>
                </c:pt>
                <c:pt idx="1">
                  <c:v>Bhk Child Development Board</c:v>
                </c:pt>
                <c:pt idx="2">
                  <c:v>Inter-Tribal Council Of Michigan</c:v>
                </c:pt>
                <c:pt idx="3">
                  <c:v>Country Schoolhouse</c:v>
                </c:pt>
                <c:pt idx="4">
                  <c:v>Bay College</c:v>
                </c:pt>
                <c:pt idx="5">
                  <c:v>Iron Mountain</c:v>
                </c:pt>
                <c:pt idx="6">
                  <c:v>Kids Town Childcare Center</c:v>
                </c:pt>
                <c:pt idx="7">
                  <c:v>Ishpeming Public School District 1</c:v>
                </c:pt>
                <c:pt idx="8">
                  <c:v>Hannahville Indian Community</c:v>
                </c:pt>
                <c:pt idx="9">
                  <c:v>Iron Mountain - Kingsford Community Schools</c:v>
                </c:pt>
              </c:strCache>
            </c:strRef>
          </c:cat>
          <c:val>
            <c:numRef>
              <c:f>'2F'!$G$5:$G$14</c:f>
              <c:numCache>
                <c:formatCode>#,##0</c:formatCode>
                <c:ptCount val="10"/>
                <c:pt idx="0">
                  <c:v>14</c:v>
                </c:pt>
                <c:pt idx="1">
                  <c:v>5</c:v>
                </c:pt>
                <c:pt idx="2">
                  <c:v>4</c:v>
                </c:pt>
                <c:pt idx="3">
                  <c:v>3</c:v>
                </c:pt>
                <c:pt idx="4">
                  <c:v>3</c:v>
                </c:pt>
                <c:pt idx="5">
                  <c:v>2</c:v>
                </c:pt>
                <c:pt idx="6">
                  <c:v>2</c:v>
                </c:pt>
                <c:pt idx="7">
                  <c:v>2</c:v>
                </c:pt>
                <c:pt idx="8">
                  <c:v>2</c:v>
                </c:pt>
                <c:pt idx="9">
                  <c:v>2</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17.163785198521207</c:v>
                </c:pt>
                <c:pt idx="1">
                  <c:v>17.592879828484236</c:v>
                </c:pt>
                <c:pt idx="2">
                  <c:v>18.032701824196341</c:v>
                </c:pt>
                <c:pt idx="3">
                  <c:v>18.483519369801247</c:v>
                </c:pt>
                <c:pt idx="4">
                  <c:v>18.945607354046277</c:v>
                </c:pt>
                <c:pt idx="5">
                  <c:v>19.419247537897434</c:v>
                </c:pt>
                <c:pt idx="6">
                  <c:v>19.904728726344867</c:v>
                </c:pt>
                <c:pt idx="7">
                  <c:v>20.402346944503488</c:v>
                </c:pt>
                <c:pt idx="8">
                  <c:v>20.912405618116075</c:v>
                </c:pt>
                <c:pt idx="9">
                  <c:v>21.435215758568976</c:v>
                </c:pt>
                <c:pt idx="10">
                  <c:v>21.9710961525332</c:v>
                </c:pt>
                <c:pt idx="11">
                  <c:v>22.520373556346527</c:v>
                </c:pt>
                <c:pt idx="12">
                  <c:v>23.083382895255188</c:v>
                </c:pt>
                <c:pt idx="13">
                  <c:v>23.660467467636565</c:v>
                </c:pt>
                <c:pt idx="14">
                  <c:v>24.251979154327476</c:v>
                </c:pt>
                <c:pt idx="15">
                  <c:v>24.858278633185659</c:v>
                </c:pt>
                <c:pt idx="16">
                  <c:v>25.479735599015299</c:v>
                </c:pt>
                <c:pt idx="17">
                  <c:v>26.11672898899068</c:v>
                </c:pt>
                <c:pt idx="18">
                  <c:v>26.769647213715444</c:v>
                </c:pt>
                <c:pt idx="19">
                  <c:v>27.438888394058328</c:v>
                </c:pt>
                <c:pt idx="20">
                  <c:v>28.124860603909784</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20.138839285714287</c:v>
                </c:pt>
                <c:pt idx="1">
                  <c:v>20.642310267857141</c:v>
                </c:pt>
                <c:pt idx="2">
                  <c:v>21.158368024553567</c:v>
                </c:pt>
                <c:pt idx="3">
                  <c:v>21.687327225167405</c:v>
                </c:pt>
                <c:pt idx="4">
                  <c:v>22.229510405796589</c:v>
                </c:pt>
                <c:pt idx="5">
                  <c:v>22.7852481659415</c:v>
                </c:pt>
                <c:pt idx="6">
                  <c:v>23.354879370090035</c:v>
                </c:pt>
                <c:pt idx="7">
                  <c:v>23.938751354342283</c:v>
                </c:pt>
                <c:pt idx="8">
                  <c:v>24.537220138200837</c:v>
                </c:pt>
                <c:pt idx="9">
                  <c:v>25.150650641655854</c:v>
                </c:pt>
                <c:pt idx="10">
                  <c:v>25.77941690769725</c:v>
                </c:pt>
                <c:pt idx="11">
                  <c:v>26.42390233038968</c:v>
                </c:pt>
                <c:pt idx="12">
                  <c:v>27.084499888649418</c:v>
                </c:pt>
                <c:pt idx="13">
                  <c:v>27.76161238586565</c:v>
                </c:pt>
                <c:pt idx="14">
                  <c:v>28.455652695512288</c:v>
                </c:pt>
                <c:pt idx="15">
                  <c:v>29.167044012900092</c:v>
                </c:pt>
                <c:pt idx="16">
                  <c:v>29.896220113222594</c:v>
                </c:pt>
                <c:pt idx="17">
                  <c:v>30.643625616053157</c:v>
                </c:pt>
                <c:pt idx="18">
                  <c:v>31.409716256454484</c:v>
                </c:pt>
                <c:pt idx="19">
                  <c:v>32.194959162865842</c:v>
                </c:pt>
                <c:pt idx="20">
                  <c:v>32.999833141937486</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22.152723214285718</c:v>
                </c:pt>
                <c:pt idx="1">
                  <c:v>22.706541294642857</c:v>
                </c:pt>
                <c:pt idx="2">
                  <c:v>23.274204827008926</c:v>
                </c:pt>
                <c:pt idx="3">
                  <c:v>23.856059947684148</c:v>
                </c:pt>
                <c:pt idx="4">
                  <c:v>24.452461446376251</c:v>
                </c:pt>
                <c:pt idx="5">
                  <c:v>25.063772982535657</c:v>
                </c:pt>
                <c:pt idx="6">
                  <c:v>25.690367307099045</c:v>
                </c:pt>
                <c:pt idx="7">
                  <c:v>26.332626489776519</c:v>
                </c:pt>
                <c:pt idx="8">
                  <c:v>26.990942152020931</c:v>
                </c:pt>
                <c:pt idx="9">
                  <c:v>27.665715705821452</c:v>
                </c:pt>
                <c:pt idx="10">
                  <c:v>28.357358598466984</c:v>
                </c:pt>
                <c:pt idx="11">
                  <c:v>29.066292563428657</c:v>
                </c:pt>
                <c:pt idx="12">
                  <c:v>29.792949877514371</c:v>
                </c:pt>
                <c:pt idx="13">
                  <c:v>30.537773624452228</c:v>
                </c:pt>
                <c:pt idx="14">
                  <c:v>31.301217965063532</c:v>
                </c:pt>
                <c:pt idx="15">
                  <c:v>32.083748414190119</c:v>
                </c:pt>
                <c:pt idx="16">
                  <c:v>32.885842124544865</c:v>
                </c:pt>
                <c:pt idx="17">
                  <c:v>33.707988177658486</c:v>
                </c:pt>
                <c:pt idx="18">
                  <c:v>34.550687882099943</c:v>
                </c:pt>
                <c:pt idx="19">
                  <c:v>35.41445507915244</c:v>
                </c:pt>
                <c:pt idx="20">
                  <c:v>36.299816456131246</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24.367995535714293</c:v>
                </c:pt>
                <c:pt idx="1">
                  <c:v>24.977195424107148</c:v>
                </c:pt>
                <c:pt idx="2">
                  <c:v>25.601625309709824</c:v>
                </c:pt>
                <c:pt idx="3">
                  <c:v>26.241665942452567</c:v>
                </c:pt>
                <c:pt idx="4">
                  <c:v>26.89770759101388</c:v>
                </c:pt>
                <c:pt idx="5">
                  <c:v>27.570150280789225</c:v>
                </c:pt>
                <c:pt idx="6">
                  <c:v>28.259404037808952</c:v>
                </c:pt>
                <c:pt idx="7">
                  <c:v>28.965889138754175</c:v>
                </c:pt>
                <c:pt idx="8">
                  <c:v>29.690036367223026</c:v>
                </c:pt>
                <c:pt idx="9">
                  <c:v>30.432287276403599</c:v>
                </c:pt>
                <c:pt idx="10">
                  <c:v>31.193094458313688</c:v>
                </c:pt>
                <c:pt idx="11">
                  <c:v>31.972921819771528</c:v>
                </c:pt>
                <c:pt idx="12">
                  <c:v>32.772244865265812</c:v>
                </c:pt>
                <c:pt idx="13">
                  <c:v>33.591550986897452</c:v>
                </c:pt>
                <c:pt idx="14">
                  <c:v>34.431339761569888</c:v>
                </c:pt>
                <c:pt idx="15">
                  <c:v>35.292123255609134</c:v>
                </c:pt>
                <c:pt idx="16">
                  <c:v>36.17442633699936</c:v>
                </c:pt>
                <c:pt idx="17">
                  <c:v>37.078786995424338</c:v>
                </c:pt>
                <c:pt idx="18">
                  <c:v>38.005756670309943</c:v>
                </c:pt>
                <c:pt idx="19">
                  <c:v>38.955900587067688</c:v>
                </c:pt>
                <c:pt idx="20">
                  <c:v>39.929798101744375</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26.804795089285726</c:v>
                </c:pt>
                <c:pt idx="1">
                  <c:v>27.474914966517865</c:v>
                </c:pt>
                <c:pt idx="2">
                  <c:v>28.161787840680809</c:v>
                </c:pt>
                <c:pt idx="3">
                  <c:v>28.865832536697827</c:v>
                </c:pt>
                <c:pt idx="4">
                  <c:v>29.587478350115269</c:v>
                </c:pt>
                <c:pt idx="5">
                  <c:v>30.32716530886815</c:v>
                </c:pt>
                <c:pt idx="6">
                  <c:v>31.08534444158985</c:v>
                </c:pt>
                <c:pt idx="7">
                  <c:v>31.862478052629594</c:v>
                </c:pt>
                <c:pt idx="8">
                  <c:v>32.659040003945329</c:v>
                </c:pt>
                <c:pt idx="9">
                  <c:v>33.475516004043961</c:v>
                </c:pt>
                <c:pt idx="10">
                  <c:v>34.312403904145057</c:v>
                </c:pt>
                <c:pt idx="11">
                  <c:v>35.170214001748683</c:v>
                </c:pt>
                <c:pt idx="12">
                  <c:v>36.049469351792396</c:v>
                </c:pt>
                <c:pt idx="13">
                  <c:v>36.9507060855872</c:v>
                </c:pt>
                <c:pt idx="14">
                  <c:v>37.874473737726873</c:v>
                </c:pt>
                <c:pt idx="15">
                  <c:v>38.82133558117004</c:v>
                </c:pt>
                <c:pt idx="16">
                  <c:v>39.791868970699284</c:v>
                </c:pt>
                <c:pt idx="17">
                  <c:v>40.786665694966764</c:v>
                </c:pt>
                <c:pt idx="18">
                  <c:v>41.806332337340933</c:v>
                </c:pt>
                <c:pt idx="19">
                  <c:v>42.851490645774454</c:v>
                </c:pt>
                <c:pt idx="20">
                  <c:v>43.922777911918814</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29.4852745982143</c:v>
                </c:pt>
                <c:pt idx="1">
                  <c:v>30.222406463169655</c:v>
                </c:pt>
                <c:pt idx="2">
                  <c:v>30.977966624748895</c:v>
                </c:pt>
                <c:pt idx="3">
                  <c:v>31.752415790367614</c:v>
                </c:pt>
                <c:pt idx="4">
                  <c:v>32.546226185126798</c:v>
                </c:pt>
                <c:pt idx="5">
                  <c:v>33.359881839754962</c:v>
                </c:pt>
                <c:pt idx="6">
                  <c:v>34.19387888574883</c:v>
                </c:pt>
                <c:pt idx="7">
                  <c:v>35.048725857892549</c:v>
                </c:pt>
                <c:pt idx="8">
                  <c:v>35.924944004339856</c:v>
                </c:pt>
                <c:pt idx="9">
                  <c:v>36.823067604448347</c:v>
                </c:pt>
                <c:pt idx="10">
                  <c:v>37.743644294559552</c:v>
                </c:pt>
                <c:pt idx="11">
                  <c:v>38.687235401923537</c:v>
                </c:pt>
                <c:pt idx="12">
                  <c:v>39.654416286971625</c:v>
                </c:pt>
                <c:pt idx="13">
                  <c:v>40.645776694145908</c:v>
                </c:pt>
                <c:pt idx="14">
                  <c:v>41.661921111499552</c:v>
                </c:pt>
                <c:pt idx="15">
                  <c:v>42.703469139287037</c:v>
                </c:pt>
                <c:pt idx="16">
                  <c:v>43.771055867769206</c:v>
                </c:pt>
                <c:pt idx="17">
                  <c:v>44.865332264463433</c:v>
                </c:pt>
                <c:pt idx="18">
                  <c:v>45.986965571075018</c:v>
                </c:pt>
                <c:pt idx="19">
                  <c:v>47.136639710351886</c:v>
                </c:pt>
                <c:pt idx="20">
                  <c:v>48.31505570311068</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15.603441089564733</c:v>
                </c:pt>
                <c:pt idx="1">
                  <c:v>15.99352711680385</c:v>
                </c:pt>
                <c:pt idx="2">
                  <c:v>16.393365294723946</c:v>
                </c:pt>
                <c:pt idx="3">
                  <c:v>16.803199427092043</c:v>
                </c:pt>
                <c:pt idx="4">
                  <c:v>17.223279412769344</c:v>
                </c:pt>
                <c:pt idx="5">
                  <c:v>17.653861398088576</c:v>
                </c:pt>
                <c:pt idx="6">
                  <c:v>18.09520793304079</c:v>
                </c:pt>
                <c:pt idx="7">
                  <c:v>18.547588131366808</c:v>
                </c:pt>
                <c:pt idx="8">
                  <c:v>19.011277834650976</c:v>
                </c:pt>
                <c:pt idx="9">
                  <c:v>19.486559780517247</c:v>
                </c:pt>
                <c:pt idx="10">
                  <c:v>19.973723775030177</c:v>
                </c:pt>
                <c:pt idx="11">
                  <c:v>20.47306686940593</c:v>
                </c:pt>
                <c:pt idx="12">
                  <c:v>20.984893541141076</c:v>
                </c:pt>
                <c:pt idx="13">
                  <c:v>21.5095158796696</c:v>
                </c:pt>
                <c:pt idx="14">
                  <c:v>22.047253776661339</c:v>
                </c:pt>
                <c:pt idx="15">
                  <c:v>22.59843512107787</c:v>
                </c:pt>
                <c:pt idx="16">
                  <c:v>23.163395999104814</c:v>
                </c:pt>
                <c:pt idx="17">
                  <c:v>23.742480899082434</c:v>
                </c:pt>
                <c:pt idx="18">
                  <c:v>24.336042921559493</c:v>
                </c:pt>
                <c:pt idx="19">
                  <c:v>24.944443994598476</c:v>
                </c:pt>
                <c:pt idx="20">
                  <c:v>25.568055094463435</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18.308035714285715</c:v>
                </c:pt>
                <c:pt idx="1">
                  <c:v>18.765736607142856</c:v>
                </c:pt>
                <c:pt idx="2">
                  <c:v>19.234880022321427</c:v>
                </c:pt>
                <c:pt idx="3">
                  <c:v>19.71575202287946</c:v>
                </c:pt>
                <c:pt idx="4">
                  <c:v>20.208645823451445</c:v>
                </c:pt>
                <c:pt idx="5">
                  <c:v>20.71386196903773</c:v>
                </c:pt>
                <c:pt idx="6">
                  <c:v>21.23170851826367</c:v>
                </c:pt>
                <c:pt idx="7">
                  <c:v>21.762501231220259</c:v>
                </c:pt>
                <c:pt idx="8">
                  <c:v>22.306563762000764</c:v>
                </c:pt>
                <c:pt idx="9">
                  <c:v>22.864227856050782</c:v>
                </c:pt>
                <c:pt idx="10">
                  <c:v>23.435833552452049</c:v>
                </c:pt>
                <c:pt idx="11">
                  <c:v>24.021729391263349</c:v>
                </c:pt>
                <c:pt idx="12">
                  <c:v>24.622272626044932</c:v>
                </c:pt>
                <c:pt idx="13">
                  <c:v>25.237829441696054</c:v>
                </c:pt>
                <c:pt idx="14">
                  <c:v>25.868775177738453</c:v>
                </c:pt>
                <c:pt idx="15">
                  <c:v>26.515494557181913</c:v>
                </c:pt>
                <c:pt idx="16">
                  <c:v>27.178381921111459</c:v>
                </c:pt>
                <c:pt idx="17">
                  <c:v>27.857841469139242</c:v>
                </c:pt>
                <c:pt idx="18">
                  <c:v>28.55428750586772</c:v>
                </c:pt>
                <c:pt idx="19">
                  <c:v>29.268144693514412</c:v>
                </c:pt>
                <c:pt idx="20">
                  <c:v>29.999848310852268</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20.138839285714287</c:v>
                </c:pt>
                <c:pt idx="1">
                  <c:v>20.642310267857141</c:v>
                </c:pt>
                <c:pt idx="2">
                  <c:v>21.158368024553567</c:v>
                </c:pt>
                <c:pt idx="3">
                  <c:v>21.687327225167405</c:v>
                </c:pt>
                <c:pt idx="4">
                  <c:v>22.229510405796589</c:v>
                </c:pt>
                <c:pt idx="5">
                  <c:v>22.7852481659415</c:v>
                </c:pt>
                <c:pt idx="6">
                  <c:v>23.354879370090035</c:v>
                </c:pt>
                <c:pt idx="7">
                  <c:v>23.938751354342283</c:v>
                </c:pt>
                <c:pt idx="8">
                  <c:v>24.537220138200837</c:v>
                </c:pt>
                <c:pt idx="9">
                  <c:v>25.150650641655854</c:v>
                </c:pt>
                <c:pt idx="10">
                  <c:v>25.77941690769725</c:v>
                </c:pt>
                <c:pt idx="11">
                  <c:v>26.42390233038968</c:v>
                </c:pt>
                <c:pt idx="12">
                  <c:v>27.084499888649418</c:v>
                </c:pt>
                <c:pt idx="13">
                  <c:v>27.76161238586565</c:v>
                </c:pt>
                <c:pt idx="14">
                  <c:v>28.455652695512288</c:v>
                </c:pt>
                <c:pt idx="15">
                  <c:v>29.167044012900092</c:v>
                </c:pt>
                <c:pt idx="16">
                  <c:v>29.896220113222594</c:v>
                </c:pt>
                <c:pt idx="17">
                  <c:v>30.643625616053157</c:v>
                </c:pt>
                <c:pt idx="18">
                  <c:v>31.409716256454484</c:v>
                </c:pt>
                <c:pt idx="19">
                  <c:v>32.194959162865842</c:v>
                </c:pt>
                <c:pt idx="20">
                  <c:v>32.999833141937486</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22.152723214285718</c:v>
                </c:pt>
                <c:pt idx="1">
                  <c:v>22.706541294642857</c:v>
                </c:pt>
                <c:pt idx="2">
                  <c:v>23.274204827008926</c:v>
                </c:pt>
                <c:pt idx="3">
                  <c:v>23.856059947684148</c:v>
                </c:pt>
                <c:pt idx="4">
                  <c:v>24.452461446376251</c:v>
                </c:pt>
                <c:pt idx="5">
                  <c:v>25.063772982535657</c:v>
                </c:pt>
                <c:pt idx="6">
                  <c:v>25.690367307099045</c:v>
                </c:pt>
                <c:pt idx="7">
                  <c:v>26.332626489776519</c:v>
                </c:pt>
                <c:pt idx="8">
                  <c:v>26.990942152020931</c:v>
                </c:pt>
                <c:pt idx="9">
                  <c:v>27.665715705821452</c:v>
                </c:pt>
                <c:pt idx="10">
                  <c:v>28.357358598466984</c:v>
                </c:pt>
                <c:pt idx="11">
                  <c:v>29.066292563428657</c:v>
                </c:pt>
                <c:pt idx="12">
                  <c:v>29.792949877514371</c:v>
                </c:pt>
                <c:pt idx="13">
                  <c:v>30.537773624452228</c:v>
                </c:pt>
                <c:pt idx="14">
                  <c:v>31.301217965063532</c:v>
                </c:pt>
                <c:pt idx="15">
                  <c:v>32.083748414190119</c:v>
                </c:pt>
                <c:pt idx="16">
                  <c:v>32.885842124544865</c:v>
                </c:pt>
                <c:pt idx="17">
                  <c:v>33.707988177658486</c:v>
                </c:pt>
                <c:pt idx="18">
                  <c:v>34.550687882099943</c:v>
                </c:pt>
                <c:pt idx="19">
                  <c:v>35.41445507915244</c:v>
                </c:pt>
                <c:pt idx="20">
                  <c:v>36.299816456131246</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24.367995535714293</c:v>
                </c:pt>
                <c:pt idx="1">
                  <c:v>24.977195424107148</c:v>
                </c:pt>
                <c:pt idx="2">
                  <c:v>25.601625309709824</c:v>
                </c:pt>
                <c:pt idx="3">
                  <c:v>26.241665942452567</c:v>
                </c:pt>
                <c:pt idx="4">
                  <c:v>26.89770759101388</c:v>
                </c:pt>
                <c:pt idx="5">
                  <c:v>27.570150280789225</c:v>
                </c:pt>
                <c:pt idx="6">
                  <c:v>28.259404037808952</c:v>
                </c:pt>
                <c:pt idx="7">
                  <c:v>28.965889138754175</c:v>
                </c:pt>
                <c:pt idx="8">
                  <c:v>29.690036367223026</c:v>
                </c:pt>
                <c:pt idx="9">
                  <c:v>30.432287276403599</c:v>
                </c:pt>
                <c:pt idx="10">
                  <c:v>31.193094458313688</c:v>
                </c:pt>
                <c:pt idx="11">
                  <c:v>31.972921819771528</c:v>
                </c:pt>
                <c:pt idx="12">
                  <c:v>32.772244865265812</c:v>
                </c:pt>
                <c:pt idx="13">
                  <c:v>33.591550986897452</c:v>
                </c:pt>
                <c:pt idx="14">
                  <c:v>34.431339761569888</c:v>
                </c:pt>
                <c:pt idx="15">
                  <c:v>35.292123255609134</c:v>
                </c:pt>
                <c:pt idx="16">
                  <c:v>36.17442633699936</c:v>
                </c:pt>
                <c:pt idx="17">
                  <c:v>37.078786995424338</c:v>
                </c:pt>
                <c:pt idx="18">
                  <c:v>38.005756670309943</c:v>
                </c:pt>
                <c:pt idx="19">
                  <c:v>38.955900587067688</c:v>
                </c:pt>
                <c:pt idx="20">
                  <c:v>39.929798101744375</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26.804795089285726</c:v>
                </c:pt>
                <c:pt idx="1">
                  <c:v>27.474914966517865</c:v>
                </c:pt>
                <c:pt idx="2">
                  <c:v>28.161787840680809</c:v>
                </c:pt>
                <c:pt idx="3">
                  <c:v>28.865832536697827</c:v>
                </c:pt>
                <c:pt idx="4">
                  <c:v>29.587478350115269</c:v>
                </c:pt>
                <c:pt idx="5">
                  <c:v>30.32716530886815</c:v>
                </c:pt>
                <c:pt idx="6">
                  <c:v>31.08534444158985</c:v>
                </c:pt>
                <c:pt idx="7">
                  <c:v>31.862478052629594</c:v>
                </c:pt>
                <c:pt idx="8">
                  <c:v>32.659040003945329</c:v>
                </c:pt>
                <c:pt idx="9">
                  <c:v>33.475516004043961</c:v>
                </c:pt>
                <c:pt idx="10">
                  <c:v>34.312403904145057</c:v>
                </c:pt>
                <c:pt idx="11">
                  <c:v>35.170214001748683</c:v>
                </c:pt>
                <c:pt idx="12">
                  <c:v>36.049469351792396</c:v>
                </c:pt>
                <c:pt idx="13">
                  <c:v>36.9507060855872</c:v>
                </c:pt>
                <c:pt idx="14">
                  <c:v>37.874473737726873</c:v>
                </c:pt>
                <c:pt idx="15">
                  <c:v>38.82133558117004</c:v>
                </c:pt>
                <c:pt idx="16">
                  <c:v>39.791868970699284</c:v>
                </c:pt>
                <c:pt idx="17">
                  <c:v>40.786665694966764</c:v>
                </c:pt>
                <c:pt idx="18">
                  <c:v>41.806332337340933</c:v>
                </c:pt>
                <c:pt idx="19">
                  <c:v>42.851490645774454</c:v>
                </c:pt>
                <c:pt idx="20">
                  <c:v>43.922777911918814</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3.3557046979865771E-3</c:v>
                </c:pt>
                <c:pt idx="1">
                  <c:v>4.9217002237136466E-2</c:v>
                </c:pt>
                <c:pt idx="2">
                  <c:v>0.1621923937360179</c:v>
                </c:pt>
                <c:pt idx="3">
                  <c:v>0.26174496644295303</c:v>
                </c:pt>
                <c:pt idx="4">
                  <c:v>0.29642058165548096</c:v>
                </c:pt>
                <c:pt idx="5">
                  <c:v>0.18120805369127516</c:v>
                </c:pt>
                <c:pt idx="6">
                  <c:v>4.4742729306487698E-2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0.81543624161073824</c:v>
                </c:pt>
                <c:pt idx="1">
                  <c:v>9.6196868008948541E-2</c:v>
                </c:pt>
                <c:pt idx="2">
                  <c:v>4.9217002237136466E-2</c:v>
                </c:pt>
                <c:pt idx="3">
                  <c:v>2.4608501118568233E-2</c:v>
                </c:pt>
                <c:pt idx="4">
                  <c:v>1.2304250559284116E-2</c:v>
                </c:pt>
                <c:pt idx="5">
                  <c:v>3.3557046979865771E-3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19.991908896004812</c:v>
                </c:pt>
                <c:pt idx="1">
                  <c:v>20.49170661840493</c:v>
                </c:pt>
                <c:pt idx="2">
                  <c:v>21.003999283865053</c:v>
                </c:pt>
                <c:pt idx="3">
                  <c:v>21.529099265961676</c:v>
                </c:pt>
                <c:pt idx="4">
                  <c:v>22.067326747610718</c:v>
                </c:pt>
                <c:pt idx="5">
                  <c:v>22.619009916300985</c:v>
                </c:pt>
                <c:pt idx="6">
                  <c:v>23.184485164208507</c:v>
                </c:pt>
                <c:pt idx="7">
                  <c:v>23.764097293313718</c:v>
                </c:pt>
                <c:pt idx="8">
                  <c:v>24.358199725646557</c:v>
                </c:pt>
                <c:pt idx="9">
                  <c:v>24.967154718787718</c:v>
                </c:pt>
                <c:pt idx="10">
                  <c:v>25.591333586757408</c:v>
                </c:pt>
                <c:pt idx="11">
                  <c:v>26.231116926426342</c:v>
                </c:pt>
                <c:pt idx="12">
                  <c:v>26.886894849586998</c:v>
                </c:pt>
                <c:pt idx="13">
                  <c:v>27.55906722082667</c:v>
                </c:pt>
                <c:pt idx="14">
                  <c:v>28.248043901347334</c:v>
                </c:pt>
                <c:pt idx="15">
                  <c:v>28.954244998881016</c:v>
                </c:pt>
                <c:pt idx="16">
                  <c:v>29.67810112385304</c:v>
                </c:pt>
                <c:pt idx="17">
                  <c:v>30.420053651949363</c:v>
                </c:pt>
                <c:pt idx="18">
                  <c:v>31.180554993248094</c:v>
                </c:pt>
                <c:pt idx="19">
                  <c:v>31.960068868079293</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25.02098214285714</c:v>
                </c:pt>
                <c:pt idx="1">
                  <c:v>25.646506696428567</c:v>
                </c:pt>
                <c:pt idx="2">
                  <c:v>26.287669363839278</c:v>
                </c:pt>
                <c:pt idx="3">
                  <c:v>26.944861097935256</c:v>
                </c:pt>
                <c:pt idx="4">
                  <c:v>27.618482625383635</c:v>
                </c:pt>
                <c:pt idx="5">
                  <c:v>28.308944691018223</c:v>
                </c:pt>
                <c:pt idx="6">
                  <c:v>29.016668308293674</c:v>
                </c:pt>
                <c:pt idx="7">
                  <c:v>29.742085016001013</c:v>
                </c:pt>
                <c:pt idx="8">
                  <c:v>30.485637141401035</c:v>
                </c:pt>
                <c:pt idx="9">
                  <c:v>31.247778069936057</c:v>
                </c:pt>
                <c:pt idx="10">
                  <c:v>32.028972521684459</c:v>
                </c:pt>
                <c:pt idx="11">
                  <c:v>32.829696834726569</c:v>
                </c:pt>
                <c:pt idx="12">
                  <c:v>33.650439255594733</c:v>
                </c:pt>
                <c:pt idx="13">
                  <c:v>34.491700236984599</c:v>
                </c:pt>
                <c:pt idx="14">
                  <c:v>35.353992742909213</c:v>
                </c:pt>
                <c:pt idx="15">
                  <c:v>36.237842561481941</c:v>
                </c:pt>
                <c:pt idx="16">
                  <c:v>37.143788625518987</c:v>
                </c:pt>
                <c:pt idx="17">
                  <c:v>38.072383341156957</c:v>
                </c:pt>
                <c:pt idx="18">
                  <c:v>39.024192924685877</c:v>
                </c:pt>
                <c:pt idx="19">
                  <c:v>39.999797747803022</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27.523080357142856</c:v>
                </c:pt>
                <c:pt idx="1">
                  <c:v>28.211157366071426</c:v>
                </c:pt>
                <c:pt idx="2">
                  <c:v>28.916436300223207</c:v>
                </c:pt>
                <c:pt idx="3">
                  <c:v>29.639347207728786</c:v>
                </c:pt>
                <c:pt idx="4">
                  <c:v>30.380330887922003</c:v>
                </c:pt>
                <c:pt idx="5">
                  <c:v>31.139839160120051</c:v>
                </c:pt>
                <c:pt idx="6">
                  <c:v>31.918335139123048</c:v>
                </c:pt>
                <c:pt idx="7">
                  <c:v>32.716293517601123</c:v>
                </c:pt>
                <c:pt idx="8">
                  <c:v>33.534200855541151</c:v>
                </c:pt>
                <c:pt idx="9">
                  <c:v>34.372555876929674</c:v>
                </c:pt>
                <c:pt idx="10">
                  <c:v>35.231869773852914</c:v>
                </c:pt>
                <c:pt idx="11">
                  <c:v>36.112666518199234</c:v>
                </c:pt>
                <c:pt idx="12">
                  <c:v>37.01548318115421</c:v>
                </c:pt>
                <c:pt idx="13">
                  <c:v>37.940870260683063</c:v>
                </c:pt>
                <c:pt idx="14">
                  <c:v>38.889392017200137</c:v>
                </c:pt>
                <c:pt idx="15">
                  <c:v>39.861626817630139</c:v>
                </c:pt>
                <c:pt idx="16">
                  <c:v>40.85816748807089</c:v>
                </c:pt>
                <c:pt idx="17">
                  <c:v>41.879621675272659</c:v>
                </c:pt>
                <c:pt idx="18">
                  <c:v>42.926612217154471</c:v>
                </c:pt>
                <c:pt idx="19">
                  <c:v>43.999777522583329</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30.275388392857142</c:v>
                </c:pt>
                <c:pt idx="1">
                  <c:v>31.032273102678566</c:v>
                </c:pt>
                <c:pt idx="2">
                  <c:v>31.808079930245526</c:v>
                </c:pt>
                <c:pt idx="3">
                  <c:v>32.603281928501659</c:v>
                </c:pt>
                <c:pt idx="4">
                  <c:v>33.418363976714197</c:v>
                </c:pt>
                <c:pt idx="5">
                  <c:v>34.253823076132051</c:v>
                </c:pt>
                <c:pt idx="6">
                  <c:v>35.110168653035352</c:v>
                </c:pt>
                <c:pt idx="7">
                  <c:v>35.987922869361235</c:v>
                </c:pt>
                <c:pt idx="8">
                  <c:v>36.887620941095264</c:v>
                </c:pt>
                <c:pt idx="9">
                  <c:v>37.809811464622641</c:v>
                </c:pt>
                <c:pt idx="10">
                  <c:v>38.7550567512382</c:v>
                </c:pt>
                <c:pt idx="11">
                  <c:v>39.723933170019151</c:v>
                </c:pt>
                <c:pt idx="12">
                  <c:v>40.717031499269623</c:v>
                </c:pt>
                <c:pt idx="13">
                  <c:v>41.73495728675136</c:v>
                </c:pt>
                <c:pt idx="14">
                  <c:v>42.778331218920144</c:v>
                </c:pt>
                <c:pt idx="15">
                  <c:v>43.847789499393144</c:v>
                </c:pt>
                <c:pt idx="16">
                  <c:v>44.943984236877967</c:v>
                </c:pt>
                <c:pt idx="17">
                  <c:v>46.067583842799912</c:v>
                </c:pt>
                <c:pt idx="18">
                  <c:v>47.219273438869905</c:v>
                </c:pt>
                <c:pt idx="19">
                  <c:v>48.399755274841645</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33.302927232142856</c:v>
                </c:pt>
                <c:pt idx="1">
                  <c:v>34.135500412946428</c:v>
                </c:pt>
                <c:pt idx="2">
                  <c:v>34.988887923270084</c:v>
                </c:pt>
                <c:pt idx="3">
                  <c:v>35.863610121351833</c:v>
                </c:pt>
                <c:pt idx="4">
                  <c:v>36.760200374385626</c:v>
                </c:pt>
                <c:pt idx="5">
                  <c:v>37.679205383745263</c:v>
                </c:pt>
                <c:pt idx="6">
                  <c:v>38.621185518338891</c:v>
                </c:pt>
                <c:pt idx="7">
                  <c:v>39.586715156297359</c:v>
                </c:pt>
                <c:pt idx="8">
                  <c:v>40.576383035204792</c:v>
                </c:pt>
                <c:pt idx="9">
                  <c:v>41.590792611084908</c:v>
                </c:pt>
                <c:pt idx="10">
                  <c:v>42.630562426362026</c:v>
                </c:pt>
                <c:pt idx="11">
                  <c:v>43.696326487021075</c:v>
                </c:pt>
                <c:pt idx="12">
                  <c:v>44.788734649196599</c:v>
                </c:pt>
                <c:pt idx="13">
                  <c:v>45.90845301542651</c:v>
                </c:pt>
                <c:pt idx="14">
                  <c:v>47.056164340812167</c:v>
                </c:pt>
                <c:pt idx="15">
                  <c:v>48.232568449332469</c:v>
                </c:pt>
                <c:pt idx="16">
                  <c:v>49.438382660565779</c:v>
                </c:pt>
                <c:pt idx="17">
                  <c:v>50.674342227079919</c:v>
                </c:pt>
                <c:pt idx="18">
                  <c:v>51.941200782756916</c:v>
                </c:pt>
                <c:pt idx="19">
                  <c:v>53.23973080232583</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36.633219955357141</c:v>
                </c:pt>
                <c:pt idx="1">
                  <c:v>37.549050454241069</c:v>
                </c:pt>
                <c:pt idx="2">
                  <c:v>38.487776715597093</c:v>
                </c:pt>
                <c:pt idx="3">
                  <c:v>39.449971133487018</c:v>
                </c:pt>
                <c:pt idx="4">
                  <c:v>40.436220411824188</c:v>
                </c:pt>
                <c:pt idx="5">
                  <c:v>41.447125922119788</c:v>
                </c:pt>
                <c:pt idx="6">
                  <c:v>42.483304070172778</c:v>
                </c:pt>
                <c:pt idx="7">
                  <c:v>43.545386671927091</c:v>
                </c:pt>
                <c:pt idx="8">
                  <c:v>44.634021338725262</c:v>
                </c:pt>
                <c:pt idx="9">
                  <c:v>45.749871872193388</c:v>
                </c:pt>
                <c:pt idx="10">
                  <c:v>46.893618668998222</c:v>
                </c:pt>
                <c:pt idx="11">
                  <c:v>48.065959135723176</c:v>
                </c:pt>
                <c:pt idx="12">
                  <c:v>49.26760811411625</c:v>
                </c:pt>
                <c:pt idx="13">
                  <c:v>50.499298316969153</c:v>
                </c:pt>
                <c:pt idx="14">
                  <c:v>51.761780774893374</c:v>
                </c:pt>
                <c:pt idx="15">
                  <c:v>53.055825294265702</c:v>
                </c:pt>
                <c:pt idx="16">
                  <c:v>54.382220926622338</c:v>
                </c:pt>
                <c:pt idx="17">
                  <c:v>55.741776449787892</c:v>
                </c:pt>
                <c:pt idx="18">
                  <c:v>57.135320861032582</c:v>
                </c:pt>
                <c:pt idx="19">
                  <c:v>58.563703882558393</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17.27</c:v>
                </c:pt>
                <c:pt idx="1">
                  <c:v>14.35</c:v>
                </c:pt>
                <c:pt idx="2">
                  <c:v>28.64</c:v>
                </c:pt>
                <c:pt idx="3">
                  <c:v>17.940000000000001</c:v>
                </c:pt>
                <c:pt idx="4">
                  <c:v>16.77</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7764-434C-B3AF-0E82277610C1}"/>
              </c:ext>
            </c:extLst>
          </c:dPt>
          <c:dPt>
            <c:idx val="3"/>
            <c:invertIfNegative val="0"/>
            <c:bubble3D val="0"/>
            <c:spPr>
              <a:solidFill>
                <a:srgbClr val="003E51"/>
              </a:solidFill>
              <a:ln>
                <a:noFill/>
              </a:ln>
              <a:effectLst/>
            </c:spPr>
            <c:extLst>
              <c:ext xmlns:c16="http://schemas.microsoft.com/office/drawing/2014/chart" uri="{C3380CC4-5D6E-409C-BE32-E72D297353CC}">
                <c16:uniqueId val="{00000003-1376-4E23-985E-A49F8123A941}"/>
              </c:ext>
            </c:extLst>
          </c:dPt>
          <c:dPt>
            <c:idx val="5"/>
            <c:invertIfNegative val="0"/>
            <c:bubble3D val="0"/>
            <c:spPr>
              <a:solidFill>
                <a:srgbClr val="D45D00"/>
              </a:solidFill>
              <a:ln>
                <a:noFill/>
              </a:ln>
              <a:effectLst/>
            </c:spPr>
            <c:extLst>
              <c:ext xmlns:c16="http://schemas.microsoft.com/office/drawing/2014/chart" uri="{C3380CC4-5D6E-409C-BE32-E72D297353CC}">
                <c16:uniqueId val="{00000004-AF4B-4067-898C-1E58CD33383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7764-434C-B3AF-0E82277610C1}"/>
                </c:ext>
              </c:extLst>
            </c:dLbl>
            <c:dLbl>
              <c:idx val="1"/>
              <c:layout>
                <c:manualLayout>
                  <c:x val="-4.7100464233501759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4-434C-B3AF-0E8227761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Self-Enrichment Teacher</c:v>
                </c:pt>
                <c:pt idx="2">
                  <c:v>Customer Service Representative</c:v>
                </c:pt>
                <c:pt idx="3">
                  <c:v>Administrative Assistant</c:v>
                </c:pt>
                <c:pt idx="4">
                  <c:v>Kindergarten Teacher</c:v>
                </c:pt>
                <c:pt idx="5">
                  <c:v>Assistant Teacher</c:v>
                </c:pt>
              </c:strCache>
            </c:strRef>
          </c:cat>
          <c:val>
            <c:numRef>
              <c:f>'3C'!$Z$29:$Z$34</c:f>
              <c:numCache>
                <c:formatCode>_("$"* #,##0.00_);_("$"* \(#,##0.00\);_("$"* "-"??_);_(@_)</c:formatCode>
                <c:ptCount val="6"/>
                <c:pt idx="0">
                  <c:v>-0.39000000000000057</c:v>
                </c:pt>
                <c:pt idx="1">
                  <c:v>1.5199999999999996</c:v>
                </c:pt>
                <c:pt idx="2">
                  <c:v>3.74</c:v>
                </c:pt>
                <c:pt idx="3">
                  <c:v>4.8400000000000016</c:v>
                </c:pt>
                <c:pt idx="4">
                  <c:v>5.2899999999999991</c:v>
                </c:pt>
                <c:pt idx="5">
                  <c:v>6.06</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1</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3.0408340573414423E-2</c:v>
                </c:pt>
                <c:pt idx="2">
                  <c:v>2.2589052997393572E-2</c:v>
                </c:pt>
                <c:pt idx="3">
                  <c:v>8.6880973066898344E-4</c:v>
                </c:pt>
                <c:pt idx="4">
                  <c:v>1.7376194613379669E-3</c:v>
                </c:pt>
                <c:pt idx="5">
                  <c:v>-8.6880973066898355E-3</c:v>
                </c:pt>
                <c:pt idx="6">
                  <c:v>2.0851433536055605E-2</c:v>
                </c:pt>
                <c:pt idx="7">
                  <c:v>4.9522154648132061E-2</c:v>
                </c:pt>
                <c:pt idx="8">
                  <c:v>7.7324066029539534E-2</c:v>
                </c:pt>
                <c:pt idx="9">
                  <c:v>7.211120764552563E-2</c:v>
                </c:pt>
                <c:pt idx="10">
                  <c:v>5.2997393570807995E-2</c:v>
                </c:pt>
                <c:pt idx="11">
                  <c:v>1.216333622936577E-2</c:v>
                </c:pt>
                <c:pt idx="12">
                  <c:v>1.3900955690703735E-2</c:v>
                </c:pt>
                <c:pt idx="13">
                  <c:v>6.9504778453518675E-3</c:v>
                </c:pt>
                <c:pt idx="14">
                  <c:v>-5.0390964378801043E-2</c:v>
                </c:pt>
                <c:pt idx="15">
                  <c:v>-8.0799304952215462E-2</c:v>
                </c:pt>
                <c:pt idx="16">
                  <c:v>-8.0799304952215462E-2</c:v>
                </c:pt>
                <c:pt idx="17">
                  <c:v>-9.0356211989574289E-2</c:v>
                </c:pt>
                <c:pt idx="18">
                  <c:v>-0.11989574283231973</c:v>
                </c:pt>
                <c:pt idx="19">
                  <c:v>-0.17897480451781059</c:v>
                </c:pt>
                <c:pt idx="20">
                  <c:v>-0.24674196350999131</c:v>
                </c:pt>
                <c:pt idx="21">
                  <c:v>-0.22328410078192876</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8.7300574345883855E-3</c:v>
                </c:pt>
                <c:pt idx="2">
                  <c:v>-3.5481812380344607E-3</c:v>
                </c:pt>
                <c:pt idx="3">
                  <c:v>-1.6847479259731971E-2</c:v>
                </c:pt>
                <c:pt idx="4">
                  <c:v>-2.6113592852584556E-2</c:v>
                </c:pt>
                <c:pt idx="5">
                  <c:v>-4.0970006381620933E-2</c:v>
                </c:pt>
                <c:pt idx="6">
                  <c:v>-5.7817485641352903E-2</c:v>
                </c:pt>
                <c:pt idx="7">
                  <c:v>-7.1627313337587747E-2</c:v>
                </c:pt>
                <c:pt idx="8">
                  <c:v>-8.1991065730695603E-2</c:v>
                </c:pt>
                <c:pt idx="9">
                  <c:v>-7.2444160816847486E-2</c:v>
                </c:pt>
                <c:pt idx="10">
                  <c:v>-7.0708359923420547E-2</c:v>
                </c:pt>
                <c:pt idx="11">
                  <c:v>-0.11703892788768347</c:v>
                </c:pt>
                <c:pt idx="12">
                  <c:v>-0.12852584556477345</c:v>
                </c:pt>
                <c:pt idx="13">
                  <c:v>-0.1612252712188896</c:v>
                </c:pt>
                <c:pt idx="14">
                  <c:v>-0.15780472239948948</c:v>
                </c:pt>
                <c:pt idx="15">
                  <c:v>-0.16556477345245693</c:v>
                </c:pt>
                <c:pt idx="16">
                  <c:v>-0.16209317166560305</c:v>
                </c:pt>
                <c:pt idx="17">
                  <c:v>-0.13822590938098278</c:v>
                </c:pt>
                <c:pt idx="18">
                  <c:v>-0.13848117421825143</c:v>
                </c:pt>
                <c:pt idx="19">
                  <c:v>-0.2157498404594767</c:v>
                </c:pt>
                <c:pt idx="20">
                  <c:v>-0.24045947670708359</c:v>
                </c:pt>
                <c:pt idx="21">
                  <c:v>-0.20839821314613913</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3.3312888139231771E-2</c:v>
                </c:pt>
                <c:pt idx="2">
                  <c:v>4.7321839300774361E-2</c:v>
                </c:pt>
                <c:pt idx="3">
                  <c:v>5.1299068465843749E-2</c:v>
                </c:pt>
                <c:pt idx="4">
                  <c:v>6.2361036571340948E-2</c:v>
                </c:pt>
                <c:pt idx="5">
                  <c:v>0.10321388867591812</c:v>
                </c:pt>
                <c:pt idx="6">
                  <c:v>0.15439316108257303</c:v>
                </c:pt>
                <c:pt idx="7">
                  <c:v>0.17591332515525571</c:v>
                </c:pt>
                <c:pt idx="8">
                  <c:v>0.15261059572184313</c:v>
                </c:pt>
                <c:pt idx="9">
                  <c:v>0.10796739630453117</c:v>
                </c:pt>
                <c:pt idx="10">
                  <c:v>3.6899582151345547E-2</c:v>
                </c:pt>
                <c:pt idx="11">
                  <c:v>0.10689881545656674</c:v>
                </c:pt>
                <c:pt idx="12">
                  <c:v>4.7671643793605764E-2</c:v>
                </c:pt>
                <c:pt idx="13">
                  <c:v>5.3457793452426586E-2</c:v>
                </c:pt>
                <c:pt idx="14">
                  <c:v>9.1440331978839218E-2</c:v>
                </c:pt>
                <c:pt idx="15">
                  <c:v>0.1299236180326612</c:v>
                </c:pt>
                <c:pt idx="16">
                  <c:v>0.18739457946791382</c:v>
                </c:pt>
                <c:pt idx="17">
                  <c:v>0.21872604078816224</c:v>
                </c:pt>
                <c:pt idx="18">
                  <c:v>0.25828749137468376</c:v>
                </c:pt>
                <c:pt idx="19">
                  <c:v>0.10035555470367247</c:v>
                </c:pt>
                <c:pt idx="20">
                  <c:v>0.16092204630836465</c:v>
                </c:pt>
                <c:pt idx="21">
                  <c:v>0.21309083416391936</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1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0.39637305699481862</c:v>
                </c:pt>
                <c:pt idx="2">
                  <c:v>0.39766839378238333</c:v>
                </c:pt>
                <c:pt idx="3">
                  <c:v>0.41839378238341962</c:v>
                </c:pt>
                <c:pt idx="4">
                  <c:v>0.36528497409326416</c:v>
                </c:pt>
                <c:pt idx="5">
                  <c:v>0.37694300518134727</c:v>
                </c:pt>
                <c:pt idx="6">
                  <c:v>0.41839378238341962</c:v>
                </c:pt>
                <c:pt idx="7">
                  <c:v>0.40544041450777202</c:v>
                </c:pt>
                <c:pt idx="8">
                  <c:v>0.36787564766839387</c:v>
                </c:pt>
                <c:pt idx="9">
                  <c:v>0.33678756476683946</c:v>
                </c:pt>
                <c:pt idx="10">
                  <c:v>0.3950777202072539</c:v>
                </c:pt>
                <c:pt idx="11">
                  <c:v>0.45336787564766851</c:v>
                </c:pt>
                <c:pt idx="12">
                  <c:v>0.50777202072538874</c:v>
                </c:pt>
                <c:pt idx="13">
                  <c:v>0.56994818652849732</c:v>
                </c:pt>
                <c:pt idx="14">
                  <c:v>0.62176165803108807</c:v>
                </c:pt>
                <c:pt idx="15">
                  <c:v>0.62694300518134727</c:v>
                </c:pt>
                <c:pt idx="16">
                  <c:v>0.73834196891191717</c:v>
                </c:pt>
                <c:pt idx="17">
                  <c:v>0.78497409326424872</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6.8673565380997045E-2</c:v>
                </c:pt>
                <c:pt idx="2">
                  <c:v>4.139228598306674E-2</c:v>
                </c:pt>
                <c:pt idx="3">
                  <c:v>4.421448730009396E-2</c:v>
                </c:pt>
                <c:pt idx="4">
                  <c:v>5.7384760112887997E-2</c:v>
                </c:pt>
                <c:pt idx="5">
                  <c:v>0.12699905926622762</c:v>
                </c:pt>
                <c:pt idx="6">
                  <c:v>0.15710253998118531</c:v>
                </c:pt>
                <c:pt idx="7">
                  <c:v>0.15428033866415791</c:v>
                </c:pt>
                <c:pt idx="8">
                  <c:v>0.14957666980244588</c:v>
                </c:pt>
                <c:pt idx="9">
                  <c:v>0.12229539040451541</c:v>
                </c:pt>
                <c:pt idx="10">
                  <c:v>0.11947318908748819</c:v>
                </c:pt>
                <c:pt idx="11">
                  <c:v>0.12417685794920022</c:v>
                </c:pt>
                <c:pt idx="12">
                  <c:v>0.14205079962370645</c:v>
                </c:pt>
                <c:pt idx="13">
                  <c:v>0.19567262464722482</c:v>
                </c:pt>
                <c:pt idx="14">
                  <c:v>0.23142050799623695</c:v>
                </c:pt>
                <c:pt idx="15">
                  <c:v>0.26999059266227649</c:v>
                </c:pt>
                <c:pt idx="16">
                  <c:v>0.31326434619002819</c:v>
                </c:pt>
                <c:pt idx="17">
                  <c:v>0.32549388523047967</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2.9175158508729496E-2</c:v>
                </c:pt>
                <c:pt idx="2">
                  <c:v>5.5776454276413291E-2</c:v>
                </c:pt>
                <c:pt idx="3">
                  <c:v>9.139412268446323E-2</c:v>
                </c:pt>
                <c:pt idx="4">
                  <c:v>0.11910252947501507</c:v>
                </c:pt>
                <c:pt idx="5">
                  <c:v>0.15740235131795224</c:v>
                </c:pt>
                <c:pt idx="6">
                  <c:v>0.1881498813516502</c:v>
                </c:pt>
                <c:pt idx="7">
                  <c:v>0.20575936703525671</c:v>
                </c:pt>
                <c:pt idx="8">
                  <c:v>0.22286811897209746</c:v>
                </c:pt>
                <c:pt idx="9">
                  <c:v>0.24252800759632134</c:v>
                </c:pt>
                <c:pt idx="10">
                  <c:v>0.26911365111614605</c:v>
                </c:pt>
                <c:pt idx="11">
                  <c:v>0.29608730245078441</c:v>
                </c:pt>
                <c:pt idx="12">
                  <c:v>0.32878867302751075</c:v>
                </c:pt>
                <c:pt idx="13">
                  <c:v>0.37359733022280672</c:v>
                </c:pt>
                <c:pt idx="14">
                  <c:v>0.41982793376923699</c:v>
                </c:pt>
                <c:pt idx="15">
                  <c:v>0.47607795198254477</c:v>
                </c:pt>
                <c:pt idx="16">
                  <c:v>0.48093556078764194</c:v>
                </c:pt>
                <c:pt idx="17">
                  <c:v>0.63017271267928177</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0.16608293258325016</c:v>
                </c:pt>
                <c:pt idx="1">
                  <c:v>9.7314218310498135E-2</c:v>
                </c:pt>
                <c:pt idx="2">
                  <c:v>9.2614100353869883E-2</c:v>
                </c:pt>
                <c:pt idx="3">
                  <c:v>8.8585427819617091E-2</c:v>
                </c:pt>
                <c:pt idx="4">
                  <c:v>7.6490336630069863E-2</c:v>
                </c:pt>
                <c:pt idx="5">
                  <c:v>7.3523273750113416E-2</c:v>
                </c:pt>
                <c:pt idx="6">
                  <c:v>6.0702295617457581E-2</c:v>
                </c:pt>
                <c:pt idx="7">
                  <c:v>5.4786317031122404E-2</c:v>
                </c:pt>
                <c:pt idx="8">
                  <c:v>5.3153071409128026E-2</c:v>
                </c:pt>
                <c:pt idx="9">
                  <c:v>5.0449142546048452E-2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0.17575776953574626</c:v>
                </c:pt>
                <c:pt idx="1">
                  <c:v>0.13503431811399583</c:v>
                </c:pt>
                <c:pt idx="2">
                  <c:v>0.11799249690923819</c:v>
                </c:pt>
                <c:pt idx="3">
                  <c:v>0.10863494905571898</c:v>
                </c:pt>
                <c:pt idx="4">
                  <c:v>0.10138764547896151</c:v>
                </c:pt>
                <c:pt idx="5">
                  <c:v>9.9490557189751458E-2</c:v>
                </c:pt>
                <c:pt idx="6">
                  <c:v>5.6315811911156581E-2</c:v>
                </c:pt>
                <c:pt idx="7">
                  <c:v>5.4823719998294752E-2</c:v>
                </c:pt>
                <c:pt idx="8">
                  <c:v>5.4653195208253402E-2</c:v>
                </c:pt>
                <c:pt idx="9">
                  <c:v>5.4557275013855142E-2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#,##0</c:formatCode>
                <c:ptCount val="60"/>
                <c:pt idx="0">
                  <c:v>40</c:v>
                </c:pt>
                <c:pt idx="1">
                  <c:v>45</c:v>
                </c:pt>
                <c:pt idx="2">
                  <c:v>27</c:v>
                </c:pt>
                <c:pt idx="3">
                  <c:v>18</c:v>
                </c:pt>
                <c:pt idx="4">
                  <c:v>13</c:v>
                </c:pt>
                <c:pt idx="5">
                  <c:v>16</c:v>
                </c:pt>
                <c:pt idx="6">
                  <c:v>7</c:v>
                </c:pt>
                <c:pt idx="7">
                  <c:v>9</c:v>
                </c:pt>
                <c:pt idx="8">
                  <c:v>4</c:v>
                </c:pt>
                <c:pt idx="9">
                  <c:v>5</c:v>
                </c:pt>
                <c:pt idx="10">
                  <c:v>10</c:v>
                </c:pt>
                <c:pt idx="11">
                  <c:v>14</c:v>
                </c:pt>
                <c:pt idx="12">
                  <c:v>7</c:v>
                </c:pt>
                <c:pt idx="13">
                  <c:v>8</c:v>
                </c:pt>
                <c:pt idx="14">
                  <c:v>8</c:v>
                </c:pt>
                <c:pt idx="15">
                  <c:v>7</c:v>
                </c:pt>
                <c:pt idx="16">
                  <c:v>2</c:v>
                </c:pt>
                <c:pt idx="17">
                  <c:v>2</c:v>
                </c:pt>
                <c:pt idx="18">
                  <c:v>2</c:v>
                </c:pt>
                <c:pt idx="19">
                  <c:v>3</c:v>
                </c:pt>
                <c:pt idx="20">
                  <c:v>3</c:v>
                </c:pt>
                <c:pt idx="21">
                  <c:v>2</c:v>
                </c:pt>
                <c:pt idx="22">
                  <c:v>3</c:v>
                </c:pt>
                <c:pt idx="23">
                  <c:v>11</c:v>
                </c:pt>
                <c:pt idx="24">
                  <c:v>19</c:v>
                </c:pt>
                <c:pt idx="25">
                  <c:v>18</c:v>
                </c:pt>
                <c:pt idx="26">
                  <c:v>13</c:v>
                </c:pt>
                <c:pt idx="27">
                  <c:v>11</c:v>
                </c:pt>
                <c:pt idx="28">
                  <c:v>7</c:v>
                </c:pt>
                <c:pt idx="29">
                  <c:v>8</c:v>
                </c:pt>
                <c:pt idx="30">
                  <c:v>12</c:v>
                </c:pt>
                <c:pt idx="31">
                  <c:v>8</c:v>
                </c:pt>
                <c:pt idx="32">
                  <c:v>11</c:v>
                </c:pt>
                <c:pt idx="33">
                  <c:v>11</c:v>
                </c:pt>
                <c:pt idx="34">
                  <c:v>15</c:v>
                </c:pt>
                <c:pt idx="35">
                  <c:v>21</c:v>
                </c:pt>
                <c:pt idx="36">
                  <c:v>21</c:v>
                </c:pt>
                <c:pt idx="37">
                  <c:v>29</c:v>
                </c:pt>
                <c:pt idx="38">
                  <c:v>33</c:v>
                </c:pt>
                <c:pt idx="39">
                  <c:v>27</c:v>
                </c:pt>
                <c:pt idx="40">
                  <c:v>15</c:v>
                </c:pt>
                <c:pt idx="41">
                  <c:v>14</c:v>
                </c:pt>
                <c:pt idx="42">
                  <c:v>14</c:v>
                </c:pt>
                <c:pt idx="43">
                  <c:v>13</c:v>
                </c:pt>
                <c:pt idx="44">
                  <c:v>8</c:v>
                </c:pt>
                <c:pt idx="45">
                  <c:v>9</c:v>
                </c:pt>
                <c:pt idx="46">
                  <c:v>15</c:v>
                </c:pt>
                <c:pt idx="47">
                  <c:v>19</c:v>
                </c:pt>
                <c:pt idx="48">
                  <c:v>13</c:v>
                </c:pt>
                <c:pt idx="49">
                  <c:v>7</c:v>
                </c:pt>
                <c:pt idx="50">
                  <c:v>2</c:v>
                </c:pt>
                <c:pt idx="51">
                  <c:v>13</c:v>
                </c:pt>
                <c:pt idx="52">
                  <c:v>14</c:v>
                </c:pt>
                <c:pt idx="53">
                  <c:v>10</c:v>
                </c:pt>
                <c:pt idx="54">
                  <c:v>11</c:v>
                </c:pt>
                <c:pt idx="55">
                  <c:v>15</c:v>
                </c:pt>
                <c:pt idx="56">
                  <c:v>11</c:v>
                </c:pt>
                <c:pt idx="57">
                  <c:v>17</c:v>
                </c:pt>
                <c:pt idx="58">
                  <c:v>15</c:v>
                </c:pt>
                <c:pt idx="59">
                  <c:v>14</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Sault Ste. Marie Tribe of Chippewa Indians</c:v>
                </c:pt>
                <c:pt idx="1">
                  <c:v>Dickinson Iron Intermediate School District</c:v>
                </c:pt>
                <c:pt idx="2">
                  <c:v>Munising Public Schools</c:v>
                </c:pt>
                <c:pt idx="3">
                  <c:v>Gocaa Head Start</c:v>
                </c:pt>
                <c:pt idx="4">
                  <c:v>YMCA</c:v>
                </c:pt>
                <c:pt idx="5">
                  <c:v>Ishpeming Public School District 1</c:v>
                </c:pt>
                <c:pt idx="6">
                  <c:v>Watersmeet Township School District</c:v>
                </c:pt>
                <c:pt idx="7">
                  <c:v>Gogebic-Ontonagon Intermediate School District</c:v>
                </c:pt>
                <c:pt idx="8">
                  <c:v>Baraga Area Schools</c:v>
                </c:pt>
                <c:pt idx="9">
                  <c:v>Tfco</c:v>
                </c:pt>
              </c:strCache>
            </c:strRef>
          </c:cat>
          <c:val>
            <c:numRef>
              <c:f>'3F'!$G$5:$G$14</c:f>
              <c:numCache>
                <c:formatCode>#,##0</c:formatCode>
                <c:ptCount val="10"/>
                <c:pt idx="0">
                  <c:v>14</c:v>
                </c:pt>
                <c:pt idx="1">
                  <c:v>12</c:v>
                </c:pt>
                <c:pt idx="2">
                  <c:v>7</c:v>
                </c:pt>
                <c:pt idx="3">
                  <c:v>6</c:v>
                </c:pt>
                <c:pt idx="4">
                  <c:v>3</c:v>
                </c:pt>
                <c:pt idx="5">
                  <c:v>3</c:v>
                </c:pt>
                <c:pt idx="6">
                  <c:v>3</c:v>
                </c:pt>
                <c:pt idx="7">
                  <c:v>3</c:v>
                </c:pt>
                <c:pt idx="8">
                  <c:v>2</c:v>
                </c:pt>
                <c:pt idx="9">
                  <c:v>2</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13.731028158816967</c:v>
                </c:pt>
                <c:pt idx="1">
                  <c:v>14.07430386278739</c:v>
                </c:pt>
                <c:pt idx="2">
                  <c:v>14.426161459357074</c:v>
                </c:pt>
                <c:pt idx="3">
                  <c:v>14.786815495840999</c:v>
                </c:pt>
                <c:pt idx="4">
                  <c:v>15.156485883237023</c:v>
                </c:pt>
                <c:pt idx="5">
                  <c:v>15.535398030317948</c:v>
                </c:pt>
                <c:pt idx="6">
                  <c:v>15.923782981075895</c:v>
                </c:pt>
                <c:pt idx="7">
                  <c:v>16.321877555602793</c:v>
                </c:pt>
                <c:pt idx="8">
                  <c:v>16.72992449449286</c:v>
                </c:pt>
                <c:pt idx="9">
                  <c:v>17.14817260685518</c:v>
                </c:pt>
                <c:pt idx="10">
                  <c:v>17.576876922026557</c:v>
                </c:pt>
                <c:pt idx="11">
                  <c:v>18.01629884507722</c:v>
                </c:pt>
                <c:pt idx="12">
                  <c:v>18.466706316204149</c:v>
                </c:pt>
                <c:pt idx="13">
                  <c:v>18.928373974109252</c:v>
                </c:pt>
                <c:pt idx="14">
                  <c:v>19.401583323461981</c:v>
                </c:pt>
                <c:pt idx="15">
                  <c:v>19.886622906548528</c:v>
                </c:pt>
                <c:pt idx="16">
                  <c:v>20.383788479212239</c:v>
                </c:pt>
                <c:pt idx="17">
                  <c:v>20.893383191192545</c:v>
                </c:pt>
                <c:pt idx="18">
                  <c:v>21.415717770972357</c:v>
                </c:pt>
                <c:pt idx="19">
                  <c:v>21.951110715246664</c:v>
                </c:pt>
                <c:pt idx="20">
                  <c:v>22.49988848312783</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15.104129464285716</c:v>
                </c:pt>
                <c:pt idx="1">
                  <c:v>15.481732700892858</c:v>
                </c:pt>
                <c:pt idx="2">
                  <c:v>15.868776018415177</c:v>
                </c:pt>
                <c:pt idx="3">
                  <c:v>16.265495418875556</c:v>
                </c:pt>
                <c:pt idx="4">
                  <c:v>16.672132804347445</c:v>
                </c:pt>
                <c:pt idx="5">
                  <c:v>17.088936124456129</c:v>
                </c:pt>
                <c:pt idx="6">
                  <c:v>17.516159527567531</c:v>
                </c:pt>
                <c:pt idx="7">
                  <c:v>17.954063515756719</c:v>
                </c:pt>
                <c:pt idx="8">
                  <c:v>18.402915103650635</c:v>
                </c:pt>
                <c:pt idx="9">
                  <c:v>18.862987981241901</c:v>
                </c:pt>
                <c:pt idx="10">
                  <c:v>19.334562680772947</c:v>
                </c:pt>
                <c:pt idx="11">
                  <c:v>19.817926747792271</c:v>
                </c:pt>
                <c:pt idx="12">
                  <c:v>20.313374916487074</c:v>
                </c:pt>
                <c:pt idx="13">
                  <c:v>20.821209289399249</c:v>
                </c:pt>
                <c:pt idx="14">
                  <c:v>21.341739521634228</c:v>
                </c:pt>
                <c:pt idx="15">
                  <c:v>21.87528300967508</c:v>
                </c:pt>
                <c:pt idx="16">
                  <c:v>22.422165084916955</c:v>
                </c:pt>
                <c:pt idx="17">
                  <c:v>22.982719212039878</c:v>
                </c:pt>
                <c:pt idx="18">
                  <c:v>23.557287192340873</c:v>
                </c:pt>
                <c:pt idx="19">
                  <c:v>24.146219372149393</c:v>
                </c:pt>
                <c:pt idx="20">
                  <c:v>24.749874856453125</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16.614542410714289</c:v>
                </c:pt>
                <c:pt idx="1">
                  <c:v>17.029905970982146</c:v>
                </c:pt>
                <c:pt idx="2">
                  <c:v>17.455653620256697</c:v>
                </c:pt>
                <c:pt idx="3">
                  <c:v>17.892044960763112</c:v>
                </c:pt>
                <c:pt idx="4">
                  <c:v>18.339346084782189</c:v>
                </c:pt>
                <c:pt idx="5">
                  <c:v>18.797829736901743</c:v>
                </c:pt>
                <c:pt idx="6">
                  <c:v>19.267775480324286</c:v>
                </c:pt>
                <c:pt idx="7">
                  <c:v>19.74946986733239</c:v>
                </c:pt>
                <c:pt idx="8">
                  <c:v>20.243206614015698</c:v>
                </c:pt>
                <c:pt idx="9">
                  <c:v>20.749286779366088</c:v>
                </c:pt>
                <c:pt idx="10">
                  <c:v>21.268018948850237</c:v>
                </c:pt>
                <c:pt idx="11">
                  <c:v>21.799719422571492</c:v>
                </c:pt>
                <c:pt idx="12">
                  <c:v>22.344712408135777</c:v>
                </c:pt>
                <c:pt idx="13">
                  <c:v>22.903330218339171</c:v>
                </c:pt>
                <c:pt idx="14">
                  <c:v>23.475913473797647</c:v>
                </c:pt>
                <c:pt idx="15">
                  <c:v>24.062811310642587</c:v>
                </c:pt>
                <c:pt idx="16">
                  <c:v>24.664381593408649</c:v>
                </c:pt>
                <c:pt idx="17">
                  <c:v>25.280991133243862</c:v>
                </c:pt>
                <c:pt idx="18">
                  <c:v>25.913015911574956</c:v>
                </c:pt>
                <c:pt idx="19">
                  <c:v>26.560841309364328</c:v>
                </c:pt>
                <c:pt idx="20">
                  <c:v>27.224862342098433</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18.275996651785722</c:v>
                </c:pt>
                <c:pt idx="1">
                  <c:v>18.732896568080363</c:v>
                </c:pt>
                <c:pt idx="2">
                  <c:v>19.20121898228237</c:v>
                </c:pt>
                <c:pt idx="3">
                  <c:v>19.681249456839428</c:v>
                </c:pt>
                <c:pt idx="4">
                  <c:v>20.173280693260413</c:v>
                </c:pt>
                <c:pt idx="5">
                  <c:v>20.677612710591923</c:v>
                </c:pt>
                <c:pt idx="6">
                  <c:v>21.194553028356719</c:v>
                </c:pt>
                <c:pt idx="7">
                  <c:v>21.724416854065634</c:v>
                </c:pt>
                <c:pt idx="8">
                  <c:v>22.267527275417272</c:v>
                </c:pt>
                <c:pt idx="9">
                  <c:v>22.824215457302703</c:v>
                </c:pt>
                <c:pt idx="10">
                  <c:v>23.394820843735268</c:v>
                </c:pt>
                <c:pt idx="11">
                  <c:v>23.979691364828646</c:v>
                </c:pt>
                <c:pt idx="12">
                  <c:v>24.57918364894936</c:v>
                </c:pt>
                <c:pt idx="13">
                  <c:v>25.193663240173091</c:v>
                </c:pt>
                <c:pt idx="14">
                  <c:v>25.823504821177416</c:v>
                </c:pt>
                <c:pt idx="15">
                  <c:v>26.469092441706849</c:v>
                </c:pt>
                <c:pt idx="16">
                  <c:v>27.130819752749517</c:v>
                </c:pt>
                <c:pt idx="17">
                  <c:v>27.809090246568253</c:v>
                </c:pt>
                <c:pt idx="18">
                  <c:v>28.504317502732459</c:v>
                </c:pt>
                <c:pt idx="19">
                  <c:v>29.216925440300766</c:v>
                </c:pt>
                <c:pt idx="20">
                  <c:v>29.947348576308283</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20.103596316964296</c:v>
                </c:pt>
                <c:pt idx="1">
                  <c:v>20.6061862248884</c:v>
                </c:pt>
                <c:pt idx="2">
                  <c:v>21.121340880510608</c:v>
                </c:pt>
                <c:pt idx="3">
                  <c:v>21.649374402523371</c:v>
                </c:pt>
                <c:pt idx="4">
                  <c:v>22.190608762586454</c:v>
                </c:pt>
                <c:pt idx="5">
                  <c:v>22.745373981651113</c:v>
                </c:pt>
                <c:pt idx="6">
                  <c:v>23.31400833119239</c:v>
                </c:pt>
                <c:pt idx="7">
                  <c:v>23.896858539472198</c:v>
                </c:pt>
                <c:pt idx="8">
                  <c:v>24.494280002959002</c:v>
                </c:pt>
                <c:pt idx="9">
                  <c:v>25.106637003032976</c:v>
                </c:pt>
                <c:pt idx="10">
                  <c:v>25.734302928108796</c:v>
                </c:pt>
                <c:pt idx="11">
                  <c:v>26.377660501311514</c:v>
                </c:pt>
                <c:pt idx="12">
                  <c:v>27.037102013844301</c:v>
                </c:pt>
                <c:pt idx="13">
                  <c:v>27.713029564190407</c:v>
                </c:pt>
                <c:pt idx="14">
                  <c:v>28.405855303295166</c:v>
                </c:pt>
                <c:pt idx="15">
                  <c:v>29.116001685877542</c:v>
                </c:pt>
                <c:pt idx="16">
                  <c:v>29.843901728024477</c:v>
                </c:pt>
                <c:pt idx="17">
                  <c:v>30.589999271225086</c:v>
                </c:pt>
                <c:pt idx="18">
                  <c:v>31.354749253005711</c:v>
                </c:pt>
                <c:pt idx="19">
                  <c:v>32.13861798433085</c:v>
                </c:pt>
                <c:pt idx="20">
                  <c:v>32.942083433939118</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22.113955948660728</c:v>
                </c:pt>
                <c:pt idx="1">
                  <c:v>22.666804847377243</c:v>
                </c:pt>
                <c:pt idx="2">
                  <c:v>23.233474968561673</c:v>
                </c:pt>
                <c:pt idx="3">
                  <c:v>23.814311842775712</c:v>
                </c:pt>
                <c:pt idx="4">
                  <c:v>24.409669638845102</c:v>
                </c:pt>
                <c:pt idx="5">
                  <c:v>25.019911379816229</c:v>
                </c:pt>
                <c:pt idx="6">
                  <c:v>25.645409164311634</c:v>
                </c:pt>
                <c:pt idx="7">
                  <c:v>26.286544393419423</c:v>
                </c:pt>
                <c:pt idx="8">
                  <c:v>26.943708003254905</c:v>
                </c:pt>
                <c:pt idx="9">
                  <c:v>27.617300703336277</c:v>
                </c:pt>
                <c:pt idx="10">
                  <c:v>28.30773322091968</c:v>
                </c:pt>
                <c:pt idx="11">
                  <c:v>29.015426551442669</c:v>
                </c:pt>
                <c:pt idx="12">
                  <c:v>29.740812215228733</c:v>
                </c:pt>
                <c:pt idx="13">
                  <c:v>30.484332520609449</c:v>
                </c:pt>
                <c:pt idx="14">
                  <c:v>31.246440833624682</c:v>
                </c:pt>
                <c:pt idx="15">
                  <c:v>32.027601854465296</c:v>
                </c:pt>
                <c:pt idx="16">
                  <c:v>32.828291900826926</c:v>
                </c:pt>
                <c:pt idx="17">
                  <c:v>33.648999198347596</c:v>
                </c:pt>
                <c:pt idx="18">
                  <c:v>34.490224178306285</c:v>
                </c:pt>
                <c:pt idx="19">
                  <c:v>35.352479782763936</c:v>
                </c:pt>
                <c:pt idx="20">
                  <c:v>36.23629177733303</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4.4444444444444444E-3</c:v>
                </c:pt>
                <c:pt idx="1">
                  <c:v>0.12444444444444444</c:v>
                </c:pt>
                <c:pt idx="2">
                  <c:v>0.25777777777777777</c:v>
                </c:pt>
                <c:pt idx="3">
                  <c:v>0.25333333333333335</c:v>
                </c:pt>
                <c:pt idx="4">
                  <c:v>0.2</c:v>
                </c:pt>
                <c:pt idx="5">
                  <c:v>0.12</c:v>
                </c:pt>
                <c:pt idx="6">
                  <c:v>0.04</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12.482752871651787</c:v>
                </c:pt>
                <c:pt idx="1">
                  <c:v>12.79482169344308</c:v>
                </c:pt>
                <c:pt idx="2">
                  <c:v>13.114692235779156</c:v>
                </c:pt>
                <c:pt idx="3">
                  <c:v>13.442559541673633</c:v>
                </c:pt>
                <c:pt idx="4">
                  <c:v>13.778623530215473</c:v>
                </c:pt>
                <c:pt idx="5">
                  <c:v>14.123089118470858</c:v>
                </c:pt>
                <c:pt idx="6">
                  <c:v>14.476166346432628</c:v>
                </c:pt>
                <c:pt idx="7">
                  <c:v>14.838070505093443</c:v>
                </c:pt>
                <c:pt idx="8">
                  <c:v>15.209022267720778</c:v>
                </c:pt>
                <c:pt idx="9">
                  <c:v>15.589247824413796</c:v>
                </c:pt>
                <c:pt idx="10">
                  <c:v>15.97897902002414</c:v>
                </c:pt>
                <c:pt idx="11">
                  <c:v>16.378453495524742</c:v>
                </c:pt>
                <c:pt idx="12">
                  <c:v>16.787914832912858</c:v>
                </c:pt>
                <c:pt idx="13">
                  <c:v>17.207612703735677</c:v>
                </c:pt>
                <c:pt idx="14">
                  <c:v>17.637803021329066</c:v>
                </c:pt>
                <c:pt idx="15">
                  <c:v>18.078748096862292</c:v>
                </c:pt>
                <c:pt idx="16">
                  <c:v>18.530716799283848</c:v>
                </c:pt>
                <c:pt idx="17">
                  <c:v>18.993984719265942</c:v>
                </c:pt>
                <c:pt idx="18">
                  <c:v>19.468834337247589</c:v>
                </c:pt>
                <c:pt idx="19">
                  <c:v>19.955555195678777</c:v>
                </c:pt>
                <c:pt idx="20">
                  <c:v>20.454444075570745</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13.731026785714286</c:v>
                </c:pt>
                <c:pt idx="1">
                  <c:v>14.074302455357142</c:v>
                </c:pt>
                <c:pt idx="2">
                  <c:v>14.426160016741068</c:v>
                </c:pt>
                <c:pt idx="3">
                  <c:v>14.786814017159594</c:v>
                </c:pt>
                <c:pt idx="4">
                  <c:v>15.156484367588583</c:v>
                </c:pt>
                <c:pt idx="5">
                  <c:v>15.535396476778295</c:v>
                </c:pt>
                <c:pt idx="6">
                  <c:v>15.923781388697751</c:v>
                </c:pt>
                <c:pt idx="7">
                  <c:v>16.321875923415195</c:v>
                </c:pt>
                <c:pt idx="8">
                  <c:v>16.729922821500573</c:v>
                </c:pt>
                <c:pt idx="9">
                  <c:v>17.148170892038085</c:v>
                </c:pt>
                <c:pt idx="10">
                  <c:v>17.576875164339036</c:v>
                </c:pt>
                <c:pt idx="11">
                  <c:v>18.016297043447512</c:v>
                </c:pt>
                <c:pt idx="12">
                  <c:v>18.466704469533699</c:v>
                </c:pt>
                <c:pt idx="13">
                  <c:v>18.928372081272041</c:v>
                </c:pt>
                <c:pt idx="14">
                  <c:v>19.401581383303842</c:v>
                </c:pt>
                <c:pt idx="15">
                  <c:v>19.886620917886436</c:v>
                </c:pt>
                <c:pt idx="16">
                  <c:v>20.383786440833596</c:v>
                </c:pt>
                <c:pt idx="17">
                  <c:v>20.893381101854434</c:v>
                </c:pt>
                <c:pt idx="18">
                  <c:v>21.415715629400793</c:v>
                </c:pt>
                <c:pt idx="19">
                  <c:v>21.951108520135811</c:v>
                </c:pt>
                <c:pt idx="20">
                  <c:v>22.499886233139204</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15.104129464285716</c:v>
                </c:pt>
                <c:pt idx="1">
                  <c:v>15.481732700892858</c:v>
                </c:pt>
                <c:pt idx="2">
                  <c:v>15.868776018415177</c:v>
                </c:pt>
                <c:pt idx="3">
                  <c:v>16.265495418875556</c:v>
                </c:pt>
                <c:pt idx="4">
                  <c:v>16.672132804347445</c:v>
                </c:pt>
                <c:pt idx="5">
                  <c:v>17.088936124456129</c:v>
                </c:pt>
                <c:pt idx="6">
                  <c:v>17.516159527567531</c:v>
                </c:pt>
                <c:pt idx="7">
                  <c:v>17.954063515756719</c:v>
                </c:pt>
                <c:pt idx="8">
                  <c:v>18.402915103650635</c:v>
                </c:pt>
                <c:pt idx="9">
                  <c:v>18.862987981241901</c:v>
                </c:pt>
                <c:pt idx="10">
                  <c:v>19.334562680772947</c:v>
                </c:pt>
                <c:pt idx="11">
                  <c:v>19.817926747792271</c:v>
                </c:pt>
                <c:pt idx="12">
                  <c:v>20.313374916487074</c:v>
                </c:pt>
                <c:pt idx="13">
                  <c:v>20.821209289399249</c:v>
                </c:pt>
                <c:pt idx="14">
                  <c:v>21.341739521634228</c:v>
                </c:pt>
                <c:pt idx="15">
                  <c:v>21.87528300967508</c:v>
                </c:pt>
                <c:pt idx="16">
                  <c:v>22.422165084916955</c:v>
                </c:pt>
                <c:pt idx="17">
                  <c:v>22.982719212039878</c:v>
                </c:pt>
                <c:pt idx="18">
                  <c:v>23.557287192340873</c:v>
                </c:pt>
                <c:pt idx="19">
                  <c:v>24.146219372149393</c:v>
                </c:pt>
                <c:pt idx="20">
                  <c:v>24.749874856453125</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16.614542410714289</c:v>
                </c:pt>
                <c:pt idx="1">
                  <c:v>17.029905970982146</c:v>
                </c:pt>
                <c:pt idx="2">
                  <c:v>17.455653620256697</c:v>
                </c:pt>
                <c:pt idx="3">
                  <c:v>17.892044960763112</c:v>
                </c:pt>
                <c:pt idx="4">
                  <c:v>18.339346084782189</c:v>
                </c:pt>
                <c:pt idx="5">
                  <c:v>18.797829736901743</c:v>
                </c:pt>
                <c:pt idx="6">
                  <c:v>19.267775480324286</c:v>
                </c:pt>
                <c:pt idx="7">
                  <c:v>19.74946986733239</c:v>
                </c:pt>
                <c:pt idx="8">
                  <c:v>20.243206614015698</c:v>
                </c:pt>
                <c:pt idx="9">
                  <c:v>20.749286779366088</c:v>
                </c:pt>
                <c:pt idx="10">
                  <c:v>21.268018948850237</c:v>
                </c:pt>
                <c:pt idx="11">
                  <c:v>21.799719422571492</c:v>
                </c:pt>
                <c:pt idx="12">
                  <c:v>22.344712408135777</c:v>
                </c:pt>
                <c:pt idx="13">
                  <c:v>22.903330218339171</c:v>
                </c:pt>
                <c:pt idx="14">
                  <c:v>23.475913473797647</c:v>
                </c:pt>
                <c:pt idx="15">
                  <c:v>24.062811310642587</c:v>
                </c:pt>
                <c:pt idx="16">
                  <c:v>24.664381593408649</c:v>
                </c:pt>
                <c:pt idx="17">
                  <c:v>25.280991133243862</c:v>
                </c:pt>
                <c:pt idx="18">
                  <c:v>25.913015911574956</c:v>
                </c:pt>
                <c:pt idx="19">
                  <c:v>26.560841309364328</c:v>
                </c:pt>
                <c:pt idx="20">
                  <c:v>27.224862342098433</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18.275996651785722</c:v>
                </c:pt>
                <c:pt idx="1">
                  <c:v>18.732896568080363</c:v>
                </c:pt>
                <c:pt idx="2">
                  <c:v>19.20121898228237</c:v>
                </c:pt>
                <c:pt idx="3">
                  <c:v>19.681249456839428</c:v>
                </c:pt>
                <c:pt idx="4">
                  <c:v>20.173280693260413</c:v>
                </c:pt>
                <c:pt idx="5">
                  <c:v>20.677612710591923</c:v>
                </c:pt>
                <c:pt idx="6">
                  <c:v>21.194553028356719</c:v>
                </c:pt>
                <c:pt idx="7">
                  <c:v>21.724416854065634</c:v>
                </c:pt>
                <c:pt idx="8">
                  <c:v>22.267527275417272</c:v>
                </c:pt>
                <c:pt idx="9">
                  <c:v>22.824215457302703</c:v>
                </c:pt>
                <c:pt idx="10">
                  <c:v>23.394820843735268</c:v>
                </c:pt>
                <c:pt idx="11">
                  <c:v>23.979691364828646</c:v>
                </c:pt>
                <c:pt idx="12">
                  <c:v>24.57918364894936</c:v>
                </c:pt>
                <c:pt idx="13">
                  <c:v>25.193663240173091</c:v>
                </c:pt>
                <c:pt idx="14">
                  <c:v>25.823504821177416</c:v>
                </c:pt>
                <c:pt idx="15">
                  <c:v>26.469092441706849</c:v>
                </c:pt>
                <c:pt idx="16">
                  <c:v>27.130819752749517</c:v>
                </c:pt>
                <c:pt idx="17">
                  <c:v>27.809090246568253</c:v>
                </c:pt>
                <c:pt idx="18">
                  <c:v>28.504317502732459</c:v>
                </c:pt>
                <c:pt idx="19">
                  <c:v>29.216925440300766</c:v>
                </c:pt>
                <c:pt idx="20">
                  <c:v>29.947348576308283</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20.103596316964296</c:v>
                </c:pt>
                <c:pt idx="1">
                  <c:v>20.6061862248884</c:v>
                </c:pt>
                <c:pt idx="2">
                  <c:v>21.121340880510608</c:v>
                </c:pt>
                <c:pt idx="3">
                  <c:v>21.649374402523371</c:v>
                </c:pt>
                <c:pt idx="4">
                  <c:v>22.190608762586454</c:v>
                </c:pt>
                <c:pt idx="5">
                  <c:v>22.745373981651113</c:v>
                </c:pt>
                <c:pt idx="6">
                  <c:v>23.31400833119239</c:v>
                </c:pt>
                <c:pt idx="7">
                  <c:v>23.896858539472198</c:v>
                </c:pt>
                <c:pt idx="8">
                  <c:v>24.494280002959002</c:v>
                </c:pt>
                <c:pt idx="9">
                  <c:v>25.106637003032976</c:v>
                </c:pt>
                <c:pt idx="10">
                  <c:v>25.734302928108796</c:v>
                </c:pt>
                <c:pt idx="11">
                  <c:v>26.377660501311514</c:v>
                </c:pt>
                <c:pt idx="12">
                  <c:v>27.037102013844301</c:v>
                </c:pt>
                <c:pt idx="13">
                  <c:v>27.713029564190407</c:v>
                </c:pt>
                <c:pt idx="14">
                  <c:v>28.405855303295166</c:v>
                </c:pt>
                <c:pt idx="15">
                  <c:v>29.116001685877542</c:v>
                </c:pt>
                <c:pt idx="16">
                  <c:v>29.843901728024477</c:v>
                </c:pt>
                <c:pt idx="17">
                  <c:v>30.589999271225086</c:v>
                </c:pt>
                <c:pt idx="18">
                  <c:v>31.354749253005711</c:v>
                </c:pt>
                <c:pt idx="19">
                  <c:v>32.13861798433085</c:v>
                </c:pt>
                <c:pt idx="20">
                  <c:v>32.942083433939118</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5.3503184713375798E-2</c:v>
                </c:pt>
                <c:pt idx="1">
                  <c:v>0.2445859872611465</c:v>
                </c:pt>
                <c:pt idx="2">
                  <c:v>0.18216560509554139</c:v>
                </c:pt>
                <c:pt idx="3">
                  <c:v>0.16560509554140126</c:v>
                </c:pt>
                <c:pt idx="4">
                  <c:v>0.16560509554140126</c:v>
                </c:pt>
                <c:pt idx="5">
                  <c:v>0.11847133757961784</c:v>
                </c:pt>
                <c:pt idx="6">
                  <c:v>6.8789808917197451E-2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0.82038216560509558</c:v>
                </c:pt>
                <c:pt idx="1">
                  <c:v>9.4267515923566886E-2</c:v>
                </c:pt>
                <c:pt idx="2">
                  <c:v>3.8216560509554139E-2</c:v>
                </c:pt>
                <c:pt idx="3">
                  <c:v>3.0573248407643312E-2</c:v>
                </c:pt>
                <c:pt idx="4">
                  <c:v>1.019108280254777E-2</c:v>
                </c:pt>
                <c:pt idx="5">
                  <c:v>7.6433121019108281E-3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12.92</c:v>
                </c:pt>
                <c:pt idx="1">
                  <c:v>13.09</c:v>
                </c:pt>
                <c:pt idx="2">
                  <c:v>14.13</c:v>
                </c:pt>
                <c:pt idx="3">
                  <c:v>17.52</c:v>
                </c:pt>
                <c:pt idx="4">
                  <c:v>15.74</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003E51"/>
              </a:solidFill>
              <a:ln>
                <a:noFill/>
              </a:ln>
              <a:effectLst/>
            </c:spPr>
            <c:extLst>
              <c:ext xmlns:c16="http://schemas.microsoft.com/office/drawing/2014/chart" uri="{C3380CC4-5D6E-409C-BE32-E72D297353CC}">
                <c16:uniqueId val="{00000003-AC4E-49A2-9F82-27A36077CB6B}"/>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layout>
                <c:manualLayout>
                  <c:x val="-0.14573512187198098"/>
                  <c:y val="-1.164007717304685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Home Health and Personal Care Aide</c:v>
                </c:pt>
                <c:pt idx="3">
                  <c:v>Bank Teller</c:v>
                </c:pt>
                <c:pt idx="4">
                  <c:v>Library Technician</c:v>
                </c:pt>
                <c:pt idx="5">
                  <c:v>Waiter/Waitress</c:v>
                </c:pt>
              </c:strCache>
            </c:strRef>
          </c:cat>
          <c:val>
            <c:numRef>
              <c:f>'4C'!$Z$29:$Z$34</c:f>
              <c:numCache>
                <c:formatCode>_("$"* #,##0.00_);_("$"* \(#,##0.00\);_("$"* "-"??_);_(@_)</c:formatCode>
                <c:ptCount val="6"/>
                <c:pt idx="0">
                  <c:v>2.5099999999999998</c:v>
                </c:pt>
                <c:pt idx="1">
                  <c:v>3.9499999999999993</c:v>
                </c:pt>
                <c:pt idx="2">
                  <c:v>4.5500000000000007</c:v>
                </c:pt>
                <c:pt idx="3">
                  <c:v>5.73</c:v>
                </c:pt>
                <c:pt idx="4">
                  <c:v>7.1</c:v>
                </c:pt>
                <c:pt idx="5">
                  <c:v>7.9200000000000008</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1</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7.223001402524544E-2</c:v>
                </c:pt>
                <c:pt idx="2">
                  <c:v>5.4698457223001401E-2</c:v>
                </c:pt>
                <c:pt idx="3">
                  <c:v>2.8050490883590462E-3</c:v>
                </c:pt>
                <c:pt idx="4">
                  <c:v>-3.9270687237026647E-2</c:v>
                </c:pt>
                <c:pt idx="5">
                  <c:v>-6.5918653576437586E-2</c:v>
                </c:pt>
                <c:pt idx="6">
                  <c:v>-0.14095371669004209</c:v>
                </c:pt>
                <c:pt idx="7">
                  <c:v>-0.19845722300140253</c:v>
                </c:pt>
                <c:pt idx="8">
                  <c:v>-0.21178120617110799</c:v>
                </c:pt>
                <c:pt idx="9">
                  <c:v>-0.26507713884992989</c:v>
                </c:pt>
                <c:pt idx="10">
                  <c:v>-0.25806451612903225</c:v>
                </c:pt>
                <c:pt idx="11">
                  <c:v>-0.22019635343618513</c:v>
                </c:pt>
                <c:pt idx="12">
                  <c:v>-0.30014025245441794</c:v>
                </c:pt>
                <c:pt idx="13">
                  <c:v>-0.36956521739130432</c:v>
                </c:pt>
                <c:pt idx="14">
                  <c:v>-0.47335203366058903</c:v>
                </c:pt>
                <c:pt idx="15">
                  <c:v>-0.48807854137447404</c:v>
                </c:pt>
                <c:pt idx="16">
                  <c:v>-0.5161290322580645</c:v>
                </c:pt>
                <c:pt idx="17">
                  <c:v>-0.49158485273492286</c:v>
                </c:pt>
                <c:pt idx="18">
                  <c:v>-0.48036465638148668</c:v>
                </c:pt>
                <c:pt idx="19">
                  <c:v>-0.47545582047685836</c:v>
                </c:pt>
                <c:pt idx="20">
                  <c:v>-0.46844319775596072</c:v>
                </c:pt>
                <c:pt idx="21">
                  <c:v>-0.44950911640953717</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2.7771265372237262E-2</c:v>
                </c:pt>
                <c:pt idx="2">
                  <c:v>2.7387625482214028E-2</c:v>
                </c:pt>
                <c:pt idx="3">
                  <c:v>3.9109955455146103E-2</c:v>
                </c:pt>
                <c:pt idx="4">
                  <c:v>5.1791385153136256E-2</c:v>
                </c:pt>
                <c:pt idx="5">
                  <c:v>4.1283914831944414E-2</c:v>
                </c:pt>
                <c:pt idx="6">
                  <c:v>1.7157228414927856E-2</c:v>
                </c:pt>
                <c:pt idx="7">
                  <c:v>-3.4762036701549481E-2</c:v>
                </c:pt>
                <c:pt idx="8">
                  <c:v>-5.8185383320190118E-2</c:v>
                </c:pt>
                <c:pt idx="9">
                  <c:v>-0.13290990856582621</c:v>
                </c:pt>
                <c:pt idx="10">
                  <c:v>-0.11769219292823803</c:v>
                </c:pt>
                <c:pt idx="11">
                  <c:v>-0.13548882115987126</c:v>
                </c:pt>
                <c:pt idx="12">
                  <c:v>-0.16728830537735245</c:v>
                </c:pt>
                <c:pt idx="13">
                  <c:v>-0.17150834416760802</c:v>
                </c:pt>
                <c:pt idx="14">
                  <c:v>-0.19655150365523563</c:v>
                </c:pt>
                <c:pt idx="15">
                  <c:v>-0.22494085551695475</c:v>
                </c:pt>
                <c:pt idx="16">
                  <c:v>-0.25322364074255632</c:v>
                </c:pt>
                <c:pt idx="17">
                  <c:v>-0.2180779641509836</c:v>
                </c:pt>
                <c:pt idx="18">
                  <c:v>-0.22455721562693151</c:v>
                </c:pt>
                <c:pt idx="19">
                  <c:v>-0.28977599693088085</c:v>
                </c:pt>
                <c:pt idx="20">
                  <c:v>-0.3285449391504508</c:v>
                </c:pt>
                <c:pt idx="21">
                  <c:v>-0.30192459344828321</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3.6588825256607199E-2</c:v>
                </c:pt>
                <c:pt idx="2">
                  <c:v>4.9001972156908678E-2</c:v>
                </c:pt>
                <c:pt idx="3">
                  <c:v>5.5355120262304318E-2</c:v>
                </c:pt>
                <c:pt idx="4">
                  <c:v>6.582522207922073E-2</c:v>
                </c:pt>
                <c:pt idx="5">
                  <c:v>9.1722560242860324E-2</c:v>
                </c:pt>
                <c:pt idx="6">
                  <c:v>9.8012745563323969E-2</c:v>
                </c:pt>
                <c:pt idx="7">
                  <c:v>9.4276953657359233E-2</c:v>
                </c:pt>
                <c:pt idx="8">
                  <c:v>0.10956133895439801</c:v>
                </c:pt>
                <c:pt idx="9">
                  <c:v>7.6622324166267783E-2</c:v>
                </c:pt>
                <c:pt idx="10">
                  <c:v>9.8852926381609987E-2</c:v>
                </c:pt>
                <c:pt idx="11">
                  <c:v>0.13136271100149419</c:v>
                </c:pt>
                <c:pt idx="12">
                  <c:v>4.9027698886235725E-2</c:v>
                </c:pt>
                <c:pt idx="13">
                  <c:v>6.4547686862374859E-2</c:v>
                </c:pt>
                <c:pt idx="14">
                  <c:v>3.9671293641503444E-2</c:v>
                </c:pt>
                <c:pt idx="15">
                  <c:v>1.1551301467845313E-2</c:v>
                </c:pt>
                <c:pt idx="16">
                  <c:v>-1.6236274282139626E-2</c:v>
                </c:pt>
                <c:pt idx="17">
                  <c:v>7.4106520845759454E-3</c:v>
                </c:pt>
                <c:pt idx="18">
                  <c:v>-2.360495117676091E-2</c:v>
                </c:pt>
                <c:pt idx="19">
                  <c:v>-0.12390263651584259</c:v>
                </c:pt>
                <c:pt idx="20">
                  <c:v>-0.17920765735787844</c:v>
                </c:pt>
                <c:pt idx="21">
                  <c:v>-0.17747719630103795</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1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0.14099216710182769</c:v>
                </c:pt>
                <c:pt idx="2">
                  <c:v>0.16057441253263713</c:v>
                </c:pt>
                <c:pt idx="3">
                  <c:v>0.2010443864229764</c:v>
                </c:pt>
                <c:pt idx="4">
                  <c:v>0.16318537859007834</c:v>
                </c:pt>
                <c:pt idx="5">
                  <c:v>0.13968668407310708</c:v>
                </c:pt>
                <c:pt idx="6">
                  <c:v>0.12271540469973884</c:v>
                </c:pt>
                <c:pt idx="7">
                  <c:v>0.15926892950391652</c:v>
                </c:pt>
                <c:pt idx="8">
                  <c:v>0.20626631853785901</c:v>
                </c:pt>
                <c:pt idx="9">
                  <c:v>0.19843342036553518</c:v>
                </c:pt>
                <c:pt idx="10">
                  <c:v>0.20887728459530022</c:v>
                </c:pt>
                <c:pt idx="11">
                  <c:v>0.26501305483028714</c:v>
                </c:pt>
                <c:pt idx="12">
                  <c:v>0.32245430809399483</c:v>
                </c:pt>
                <c:pt idx="13">
                  <c:v>0.3550913838120105</c:v>
                </c:pt>
                <c:pt idx="14">
                  <c:v>0.41253263707571802</c:v>
                </c:pt>
                <c:pt idx="15">
                  <c:v>0.43603133159268925</c:v>
                </c:pt>
                <c:pt idx="16">
                  <c:v>0.47389033942558734</c:v>
                </c:pt>
                <c:pt idx="17">
                  <c:v>0.51566579634464738</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-3.7128712871286338E-3</c:v>
                </c:pt>
                <c:pt idx="2">
                  <c:v>2.2277227722772242E-2</c:v>
                </c:pt>
                <c:pt idx="3">
                  <c:v>6.9306930693069368E-2</c:v>
                </c:pt>
                <c:pt idx="4">
                  <c:v>8.0445544554455489E-2</c:v>
                </c:pt>
                <c:pt idx="5">
                  <c:v>9.7772277227722665E-2</c:v>
                </c:pt>
                <c:pt idx="6">
                  <c:v>0.10148514851485152</c:v>
                </c:pt>
                <c:pt idx="7">
                  <c:v>0.11633663366336627</c:v>
                </c:pt>
                <c:pt idx="8">
                  <c:v>0.11386138613861385</c:v>
                </c:pt>
                <c:pt idx="9">
                  <c:v>0.11386138613861385</c:v>
                </c:pt>
                <c:pt idx="10">
                  <c:v>0.12995049504950504</c:v>
                </c:pt>
                <c:pt idx="11">
                  <c:v>0.17079207920792089</c:v>
                </c:pt>
                <c:pt idx="12">
                  <c:v>0.219059405940594</c:v>
                </c:pt>
                <c:pt idx="13">
                  <c:v>0.28712871287128716</c:v>
                </c:pt>
                <c:pt idx="14">
                  <c:v>0.3477722772277228</c:v>
                </c:pt>
                <c:pt idx="15">
                  <c:v>0.39851485148514859</c:v>
                </c:pt>
                <c:pt idx="16">
                  <c:v>0.39851485148514859</c:v>
                </c:pt>
                <c:pt idx="17">
                  <c:v>0.54084158415841577</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2.4484536082474279E-2</c:v>
                </c:pt>
                <c:pt idx="2">
                  <c:v>6.0567010309278434E-2</c:v>
                </c:pt>
                <c:pt idx="3">
                  <c:v>9.7938144329896878E-2</c:v>
                </c:pt>
                <c:pt idx="4">
                  <c:v>0.12371134020618568</c:v>
                </c:pt>
                <c:pt idx="5">
                  <c:v>0.143041237113402</c:v>
                </c:pt>
                <c:pt idx="6">
                  <c:v>0.15850515463917531</c:v>
                </c:pt>
                <c:pt idx="7">
                  <c:v>0.17010309278350519</c:v>
                </c:pt>
                <c:pt idx="8">
                  <c:v>0.18041237113402067</c:v>
                </c:pt>
                <c:pt idx="9">
                  <c:v>0.19458762886597936</c:v>
                </c:pt>
                <c:pt idx="10">
                  <c:v>0.22938144329896901</c:v>
                </c:pt>
                <c:pt idx="11">
                  <c:v>0.27835051546391754</c:v>
                </c:pt>
                <c:pt idx="12">
                  <c:v>0.34149484536082481</c:v>
                </c:pt>
                <c:pt idx="13">
                  <c:v>0.39819587628865977</c:v>
                </c:pt>
                <c:pt idx="14">
                  <c:v>0.46649484536082486</c:v>
                </c:pt>
                <c:pt idx="15">
                  <c:v>0.51675257731958757</c:v>
                </c:pt>
                <c:pt idx="16">
                  <c:v>0.62757731958762897</c:v>
                </c:pt>
                <c:pt idx="17">
                  <c:v>0.66752577319587625</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c:v>
                </c:pt>
                <c:pt idx="1">
                  <c:v>8.7999999999999995E-2</c:v>
                </c:pt>
                <c:pt idx="2">
                  <c:v>8.6999999999999994E-2</c:v>
                </c:pt>
                <c:pt idx="3">
                  <c:v>8.4000000000000005E-2</c:v>
                </c:pt>
                <c:pt idx="4">
                  <c:v>0.08</c:v>
                </c:pt>
                <c:pt idx="5">
                  <c:v>7.8E-2</c:v>
                </c:pt>
                <c:pt idx="6">
                  <c:v>6.7000000000000004E-2</c:v>
                </c:pt>
                <c:pt idx="7">
                  <c:v>6.5000000000000002E-2</c:v>
                </c:pt>
                <c:pt idx="8">
                  <c:v>6.2E-2</c:v>
                </c:pt>
                <c:pt idx="9">
                  <c:v>5.7000000000000002E-2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0.14864015797504712</c:v>
                </c:pt>
                <c:pt idx="1">
                  <c:v>0.13481734135176376</c:v>
                </c:pt>
                <c:pt idx="2">
                  <c:v>0.11857104389193071</c:v>
                </c:pt>
                <c:pt idx="3">
                  <c:v>0.11224306615205099</c:v>
                </c:pt>
                <c:pt idx="4">
                  <c:v>9.6759716362983569E-2</c:v>
                </c:pt>
                <c:pt idx="5">
                  <c:v>9.604164796696886E-2</c:v>
                </c:pt>
                <c:pt idx="6">
                  <c:v>7.6384525626065888E-2</c:v>
                </c:pt>
                <c:pt idx="7">
                  <c:v>7.2076115249977563E-2</c:v>
                </c:pt>
                <c:pt idx="8">
                  <c:v>7.0774616282200886E-2</c:v>
                </c:pt>
                <c:pt idx="9">
                  <c:v>6.9158962391167755E-2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#,##0</c:formatCode>
                <c:ptCount val="60"/>
                <c:pt idx="0">
                  <c:v>35</c:v>
                </c:pt>
                <c:pt idx="1">
                  <c:v>31</c:v>
                </c:pt>
                <c:pt idx="2">
                  <c:v>14</c:v>
                </c:pt>
                <c:pt idx="3">
                  <c:v>11</c:v>
                </c:pt>
                <c:pt idx="4">
                  <c:v>10</c:v>
                </c:pt>
                <c:pt idx="5">
                  <c:v>11</c:v>
                </c:pt>
                <c:pt idx="6">
                  <c:v>10</c:v>
                </c:pt>
                <c:pt idx="7">
                  <c:v>7</c:v>
                </c:pt>
                <c:pt idx="8">
                  <c:v>5</c:v>
                </c:pt>
                <c:pt idx="9">
                  <c:v>5</c:v>
                </c:pt>
                <c:pt idx="10">
                  <c:v>7</c:v>
                </c:pt>
                <c:pt idx="11">
                  <c:v>11</c:v>
                </c:pt>
                <c:pt idx="12">
                  <c:v>10</c:v>
                </c:pt>
                <c:pt idx="13">
                  <c:v>7</c:v>
                </c:pt>
                <c:pt idx="14">
                  <c:v>5</c:v>
                </c:pt>
                <c:pt idx="15">
                  <c:v>4</c:v>
                </c:pt>
                <c:pt idx="16">
                  <c:v>7</c:v>
                </c:pt>
                <c:pt idx="17">
                  <c:v>8</c:v>
                </c:pt>
                <c:pt idx="18">
                  <c:v>11</c:v>
                </c:pt>
                <c:pt idx="19">
                  <c:v>8</c:v>
                </c:pt>
                <c:pt idx="20">
                  <c:v>7</c:v>
                </c:pt>
                <c:pt idx="21">
                  <c:v>11</c:v>
                </c:pt>
                <c:pt idx="22">
                  <c:v>9</c:v>
                </c:pt>
                <c:pt idx="23">
                  <c:v>16</c:v>
                </c:pt>
                <c:pt idx="24">
                  <c:v>19</c:v>
                </c:pt>
                <c:pt idx="25">
                  <c:v>22</c:v>
                </c:pt>
                <c:pt idx="26">
                  <c:v>13</c:v>
                </c:pt>
                <c:pt idx="27">
                  <c:v>12</c:v>
                </c:pt>
                <c:pt idx="28">
                  <c:v>9</c:v>
                </c:pt>
                <c:pt idx="29">
                  <c:v>10</c:v>
                </c:pt>
                <c:pt idx="30">
                  <c:v>13</c:v>
                </c:pt>
                <c:pt idx="31">
                  <c:v>15</c:v>
                </c:pt>
                <c:pt idx="32">
                  <c:v>18</c:v>
                </c:pt>
                <c:pt idx="33">
                  <c:v>16</c:v>
                </c:pt>
                <c:pt idx="34">
                  <c:v>15</c:v>
                </c:pt>
                <c:pt idx="35">
                  <c:v>10</c:v>
                </c:pt>
                <c:pt idx="36">
                  <c:v>10</c:v>
                </c:pt>
                <c:pt idx="37">
                  <c:v>11</c:v>
                </c:pt>
                <c:pt idx="38">
                  <c:v>8</c:v>
                </c:pt>
                <c:pt idx="39">
                  <c:v>8</c:v>
                </c:pt>
                <c:pt idx="40">
                  <c:v>8</c:v>
                </c:pt>
                <c:pt idx="41">
                  <c:v>6</c:v>
                </c:pt>
                <c:pt idx="42">
                  <c:v>8</c:v>
                </c:pt>
                <c:pt idx="43">
                  <c:v>7</c:v>
                </c:pt>
                <c:pt idx="44">
                  <c:v>9</c:v>
                </c:pt>
                <c:pt idx="45">
                  <c:v>9</c:v>
                </c:pt>
                <c:pt idx="46">
                  <c:v>8</c:v>
                </c:pt>
                <c:pt idx="47">
                  <c:v>8</c:v>
                </c:pt>
                <c:pt idx="48">
                  <c:v>7</c:v>
                </c:pt>
                <c:pt idx="49">
                  <c:v>7</c:v>
                </c:pt>
                <c:pt idx="50">
                  <c:v>3</c:v>
                </c:pt>
                <c:pt idx="51">
                  <c:v>5</c:v>
                </c:pt>
                <c:pt idx="52">
                  <c:v>10</c:v>
                </c:pt>
                <c:pt idx="53">
                  <c:v>9</c:v>
                </c:pt>
                <c:pt idx="54">
                  <c:v>11</c:v>
                </c:pt>
                <c:pt idx="55">
                  <c:v>10</c:v>
                </c:pt>
                <c:pt idx="56">
                  <c:v>6</c:v>
                </c:pt>
                <c:pt idx="57">
                  <c:v>5</c:v>
                </c:pt>
                <c:pt idx="58">
                  <c:v>5</c:v>
                </c:pt>
                <c:pt idx="59">
                  <c:v>3</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Sault Ste. Marie Tribe of Chippewa Indians</c:v>
                </c:pt>
                <c:pt idx="1">
                  <c:v>Care Group</c:v>
                </c:pt>
                <c:pt idx="2">
                  <c:v>Kids Town Childcare Center</c:v>
                </c:pt>
                <c:pt idx="3">
                  <c:v>Community Action</c:v>
                </c:pt>
                <c:pt idx="4">
                  <c:v>Hannahville Indian Community</c:v>
                </c:pt>
                <c:pt idx="5">
                  <c:v>Rainbow Connection Daycare</c:v>
                </c:pt>
                <c:pt idx="6">
                  <c:v>Northern Lights Ymca</c:v>
                </c:pt>
                <c:pt idx="7">
                  <c:v>Bhk Child Development Board</c:v>
                </c:pt>
                <c:pt idx="8">
                  <c:v>The DOG Nanny Group</c:v>
                </c:pt>
                <c:pt idx="9">
                  <c:v>Sault Tribe Of Chippewa Indians</c:v>
                </c:pt>
              </c:strCache>
            </c:strRef>
          </c:cat>
          <c:val>
            <c:numRef>
              <c:f>'4F'!$G$5:$G$14</c:f>
              <c:numCache>
                <c:formatCode>#,##0</c:formatCode>
                <c:ptCount val="10"/>
                <c:pt idx="0">
                  <c:v>7</c:v>
                </c:pt>
                <c:pt idx="1">
                  <c:v>6</c:v>
                </c:pt>
                <c:pt idx="2">
                  <c:v>3</c:v>
                </c:pt>
                <c:pt idx="3">
                  <c:v>3</c:v>
                </c:pt>
                <c:pt idx="4">
                  <c:v>3</c:v>
                </c:pt>
                <c:pt idx="5">
                  <c:v>2</c:v>
                </c:pt>
                <c:pt idx="6">
                  <c:v>2</c:v>
                </c:pt>
                <c:pt idx="7">
                  <c:v>2</c:v>
                </c:pt>
                <c:pt idx="8">
                  <c:v>2</c:v>
                </c:pt>
                <c:pt idx="9">
                  <c:v>2</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17.163785198521207</c:v>
                </c:pt>
                <c:pt idx="1">
                  <c:v>17.592879828484236</c:v>
                </c:pt>
                <c:pt idx="2">
                  <c:v>18.032701824196341</c:v>
                </c:pt>
                <c:pt idx="3">
                  <c:v>18.483519369801247</c:v>
                </c:pt>
                <c:pt idx="4">
                  <c:v>18.945607354046277</c:v>
                </c:pt>
                <c:pt idx="5">
                  <c:v>19.419247537897434</c:v>
                </c:pt>
                <c:pt idx="6">
                  <c:v>19.904728726344867</c:v>
                </c:pt>
                <c:pt idx="7">
                  <c:v>20.402346944503488</c:v>
                </c:pt>
                <c:pt idx="8">
                  <c:v>20.912405618116075</c:v>
                </c:pt>
                <c:pt idx="9">
                  <c:v>21.435215758568976</c:v>
                </c:pt>
                <c:pt idx="10">
                  <c:v>21.9710961525332</c:v>
                </c:pt>
                <c:pt idx="11">
                  <c:v>22.520373556346527</c:v>
                </c:pt>
                <c:pt idx="12">
                  <c:v>23.083382895255188</c:v>
                </c:pt>
                <c:pt idx="13">
                  <c:v>23.660467467636565</c:v>
                </c:pt>
                <c:pt idx="14">
                  <c:v>24.251979154327476</c:v>
                </c:pt>
                <c:pt idx="15">
                  <c:v>24.858278633185659</c:v>
                </c:pt>
                <c:pt idx="16">
                  <c:v>25.479735599015299</c:v>
                </c:pt>
                <c:pt idx="17">
                  <c:v>26.11672898899068</c:v>
                </c:pt>
                <c:pt idx="18">
                  <c:v>26.769647213715444</c:v>
                </c:pt>
                <c:pt idx="19">
                  <c:v>27.438888394058328</c:v>
                </c:pt>
                <c:pt idx="20">
                  <c:v>28.124860603909784</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20.138839285714287</c:v>
                </c:pt>
                <c:pt idx="1">
                  <c:v>20.642310267857141</c:v>
                </c:pt>
                <c:pt idx="2">
                  <c:v>21.158368024553567</c:v>
                </c:pt>
                <c:pt idx="3">
                  <c:v>21.687327225167405</c:v>
                </c:pt>
                <c:pt idx="4">
                  <c:v>22.229510405796589</c:v>
                </c:pt>
                <c:pt idx="5">
                  <c:v>22.7852481659415</c:v>
                </c:pt>
                <c:pt idx="6">
                  <c:v>23.354879370090035</c:v>
                </c:pt>
                <c:pt idx="7">
                  <c:v>23.938751354342283</c:v>
                </c:pt>
                <c:pt idx="8">
                  <c:v>24.537220138200837</c:v>
                </c:pt>
                <c:pt idx="9">
                  <c:v>25.150650641655854</c:v>
                </c:pt>
                <c:pt idx="10">
                  <c:v>25.77941690769725</c:v>
                </c:pt>
                <c:pt idx="11">
                  <c:v>26.42390233038968</c:v>
                </c:pt>
                <c:pt idx="12">
                  <c:v>27.084499888649418</c:v>
                </c:pt>
                <c:pt idx="13">
                  <c:v>27.76161238586565</c:v>
                </c:pt>
                <c:pt idx="14">
                  <c:v>28.455652695512288</c:v>
                </c:pt>
                <c:pt idx="15">
                  <c:v>29.167044012900092</c:v>
                </c:pt>
                <c:pt idx="16">
                  <c:v>29.896220113222594</c:v>
                </c:pt>
                <c:pt idx="17">
                  <c:v>30.643625616053157</c:v>
                </c:pt>
                <c:pt idx="18">
                  <c:v>31.409716256454484</c:v>
                </c:pt>
                <c:pt idx="19">
                  <c:v>32.194959162865842</c:v>
                </c:pt>
                <c:pt idx="20">
                  <c:v>32.999833141937486</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22.152723214285718</c:v>
                </c:pt>
                <c:pt idx="1">
                  <c:v>22.706541294642857</c:v>
                </c:pt>
                <c:pt idx="2">
                  <c:v>23.274204827008926</c:v>
                </c:pt>
                <c:pt idx="3">
                  <c:v>23.856059947684148</c:v>
                </c:pt>
                <c:pt idx="4">
                  <c:v>24.452461446376251</c:v>
                </c:pt>
                <c:pt idx="5">
                  <c:v>25.063772982535657</c:v>
                </c:pt>
                <c:pt idx="6">
                  <c:v>25.690367307099045</c:v>
                </c:pt>
                <c:pt idx="7">
                  <c:v>26.332626489776519</c:v>
                </c:pt>
                <c:pt idx="8">
                  <c:v>26.990942152020931</c:v>
                </c:pt>
                <c:pt idx="9">
                  <c:v>27.665715705821452</c:v>
                </c:pt>
                <c:pt idx="10">
                  <c:v>28.357358598466984</c:v>
                </c:pt>
                <c:pt idx="11">
                  <c:v>29.066292563428657</c:v>
                </c:pt>
                <c:pt idx="12">
                  <c:v>29.792949877514371</c:v>
                </c:pt>
                <c:pt idx="13">
                  <c:v>30.537773624452228</c:v>
                </c:pt>
                <c:pt idx="14">
                  <c:v>31.301217965063532</c:v>
                </c:pt>
                <c:pt idx="15">
                  <c:v>32.083748414190119</c:v>
                </c:pt>
                <c:pt idx="16">
                  <c:v>32.885842124544865</c:v>
                </c:pt>
                <c:pt idx="17">
                  <c:v>33.707988177658486</c:v>
                </c:pt>
                <c:pt idx="18">
                  <c:v>34.550687882099943</c:v>
                </c:pt>
                <c:pt idx="19">
                  <c:v>35.41445507915244</c:v>
                </c:pt>
                <c:pt idx="20">
                  <c:v>36.299816456131246</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24.367995535714293</c:v>
                </c:pt>
                <c:pt idx="1">
                  <c:v>24.977195424107148</c:v>
                </c:pt>
                <c:pt idx="2">
                  <c:v>25.601625309709824</c:v>
                </c:pt>
                <c:pt idx="3">
                  <c:v>26.241665942452567</c:v>
                </c:pt>
                <c:pt idx="4">
                  <c:v>26.89770759101388</c:v>
                </c:pt>
                <c:pt idx="5">
                  <c:v>27.570150280789225</c:v>
                </c:pt>
                <c:pt idx="6">
                  <c:v>28.259404037808952</c:v>
                </c:pt>
                <c:pt idx="7">
                  <c:v>28.965889138754175</c:v>
                </c:pt>
                <c:pt idx="8">
                  <c:v>29.690036367223026</c:v>
                </c:pt>
                <c:pt idx="9">
                  <c:v>30.432287276403599</c:v>
                </c:pt>
                <c:pt idx="10">
                  <c:v>31.193094458313688</c:v>
                </c:pt>
                <c:pt idx="11">
                  <c:v>31.972921819771528</c:v>
                </c:pt>
                <c:pt idx="12">
                  <c:v>32.772244865265812</c:v>
                </c:pt>
                <c:pt idx="13">
                  <c:v>33.591550986897452</c:v>
                </c:pt>
                <c:pt idx="14">
                  <c:v>34.431339761569888</c:v>
                </c:pt>
                <c:pt idx="15">
                  <c:v>35.292123255609134</c:v>
                </c:pt>
                <c:pt idx="16">
                  <c:v>36.17442633699936</c:v>
                </c:pt>
                <c:pt idx="17">
                  <c:v>37.078786995424338</c:v>
                </c:pt>
                <c:pt idx="18">
                  <c:v>38.005756670309943</c:v>
                </c:pt>
                <c:pt idx="19">
                  <c:v>38.955900587067688</c:v>
                </c:pt>
                <c:pt idx="20">
                  <c:v>39.929798101744375</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15.603441089564733</c:v>
                </c:pt>
                <c:pt idx="1">
                  <c:v>15.99352711680385</c:v>
                </c:pt>
                <c:pt idx="2">
                  <c:v>16.393365294723946</c:v>
                </c:pt>
                <c:pt idx="3">
                  <c:v>16.803199427092043</c:v>
                </c:pt>
                <c:pt idx="4">
                  <c:v>17.223279412769344</c:v>
                </c:pt>
                <c:pt idx="5">
                  <c:v>17.653861398088576</c:v>
                </c:pt>
                <c:pt idx="6">
                  <c:v>18.09520793304079</c:v>
                </c:pt>
                <c:pt idx="7">
                  <c:v>18.547588131366808</c:v>
                </c:pt>
                <c:pt idx="8">
                  <c:v>19.011277834650976</c:v>
                </c:pt>
                <c:pt idx="9">
                  <c:v>19.486559780517247</c:v>
                </c:pt>
                <c:pt idx="10">
                  <c:v>19.973723775030177</c:v>
                </c:pt>
                <c:pt idx="11">
                  <c:v>20.47306686940593</c:v>
                </c:pt>
                <c:pt idx="12">
                  <c:v>20.984893541141076</c:v>
                </c:pt>
                <c:pt idx="13">
                  <c:v>21.5095158796696</c:v>
                </c:pt>
                <c:pt idx="14">
                  <c:v>22.047253776661339</c:v>
                </c:pt>
                <c:pt idx="15">
                  <c:v>22.59843512107787</c:v>
                </c:pt>
                <c:pt idx="16">
                  <c:v>23.163395999104814</c:v>
                </c:pt>
                <c:pt idx="17">
                  <c:v>23.742480899082434</c:v>
                </c:pt>
                <c:pt idx="18">
                  <c:v>24.336042921559493</c:v>
                </c:pt>
                <c:pt idx="19">
                  <c:v>24.944443994598476</c:v>
                </c:pt>
                <c:pt idx="20">
                  <c:v>25.568055094463435</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18.308035714285715</c:v>
                </c:pt>
                <c:pt idx="1">
                  <c:v>18.765736607142856</c:v>
                </c:pt>
                <c:pt idx="2">
                  <c:v>19.234880022321427</c:v>
                </c:pt>
                <c:pt idx="3">
                  <c:v>19.71575202287946</c:v>
                </c:pt>
                <c:pt idx="4">
                  <c:v>20.208645823451445</c:v>
                </c:pt>
                <c:pt idx="5">
                  <c:v>20.71386196903773</c:v>
                </c:pt>
                <c:pt idx="6">
                  <c:v>21.23170851826367</c:v>
                </c:pt>
                <c:pt idx="7">
                  <c:v>21.762501231220259</c:v>
                </c:pt>
                <c:pt idx="8">
                  <c:v>22.306563762000764</c:v>
                </c:pt>
                <c:pt idx="9">
                  <c:v>22.864227856050782</c:v>
                </c:pt>
                <c:pt idx="10">
                  <c:v>23.435833552452049</c:v>
                </c:pt>
                <c:pt idx="11">
                  <c:v>24.021729391263349</c:v>
                </c:pt>
                <c:pt idx="12">
                  <c:v>24.622272626044932</c:v>
                </c:pt>
                <c:pt idx="13">
                  <c:v>25.237829441696054</c:v>
                </c:pt>
                <c:pt idx="14">
                  <c:v>25.868775177738453</c:v>
                </c:pt>
                <c:pt idx="15">
                  <c:v>26.515494557181913</c:v>
                </c:pt>
                <c:pt idx="16">
                  <c:v>27.178381921111459</c:v>
                </c:pt>
                <c:pt idx="17">
                  <c:v>27.857841469139242</c:v>
                </c:pt>
                <c:pt idx="18">
                  <c:v>28.55428750586772</c:v>
                </c:pt>
                <c:pt idx="19">
                  <c:v>29.268144693514412</c:v>
                </c:pt>
                <c:pt idx="20">
                  <c:v>29.999848310852268</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20.138839285714287</c:v>
                </c:pt>
                <c:pt idx="1">
                  <c:v>20.642310267857141</c:v>
                </c:pt>
                <c:pt idx="2">
                  <c:v>21.158368024553567</c:v>
                </c:pt>
                <c:pt idx="3">
                  <c:v>21.687327225167405</c:v>
                </c:pt>
                <c:pt idx="4">
                  <c:v>22.229510405796589</c:v>
                </c:pt>
                <c:pt idx="5">
                  <c:v>22.7852481659415</c:v>
                </c:pt>
                <c:pt idx="6">
                  <c:v>23.354879370090035</c:v>
                </c:pt>
                <c:pt idx="7">
                  <c:v>23.938751354342283</c:v>
                </c:pt>
                <c:pt idx="8">
                  <c:v>24.537220138200837</c:v>
                </c:pt>
                <c:pt idx="9">
                  <c:v>25.150650641655854</c:v>
                </c:pt>
                <c:pt idx="10">
                  <c:v>25.77941690769725</c:v>
                </c:pt>
                <c:pt idx="11">
                  <c:v>26.42390233038968</c:v>
                </c:pt>
                <c:pt idx="12">
                  <c:v>27.084499888649418</c:v>
                </c:pt>
                <c:pt idx="13">
                  <c:v>27.76161238586565</c:v>
                </c:pt>
                <c:pt idx="14">
                  <c:v>28.455652695512288</c:v>
                </c:pt>
                <c:pt idx="15">
                  <c:v>29.167044012900092</c:v>
                </c:pt>
                <c:pt idx="16">
                  <c:v>29.896220113222594</c:v>
                </c:pt>
                <c:pt idx="17">
                  <c:v>30.643625616053157</c:v>
                </c:pt>
                <c:pt idx="18">
                  <c:v>31.409716256454484</c:v>
                </c:pt>
                <c:pt idx="19">
                  <c:v>32.194959162865842</c:v>
                </c:pt>
                <c:pt idx="20">
                  <c:v>32.999833141937486</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22.152723214285718</c:v>
                </c:pt>
                <c:pt idx="1">
                  <c:v>22.706541294642857</c:v>
                </c:pt>
                <c:pt idx="2">
                  <c:v>23.274204827008926</c:v>
                </c:pt>
                <c:pt idx="3">
                  <c:v>23.856059947684148</c:v>
                </c:pt>
                <c:pt idx="4">
                  <c:v>24.452461446376251</c:v>
                </c:pt>
                <c:pt idx="5">
                  <c:v>25.063772982535657</c:v>
                </c:pt>
                <c:pt idx="6">
                  <c:v>25.690367307099045</c:v>
                </c:pt>
                <c:pt idx="7">
                  <c:v>26.332626489776519</c:v>
                </c:pt>
                <c:pt idx="8">
                  <c:v>26.990942152020931</c:v>
                </c:pt>
                <c:pt idx="9">
                  <c:v>27.665715705821452</c:v>
                </c:pt>
                <c:pt idx="10">
                  <c:v>28.357358598466984</c:v>
                </c:pt>
                <c:pt idx="11">
                  <c:v>29.066292563428657</c:v>
                </c:pt>
                <c:pt idx="12">
                  <c:v>29.792949877514371</c:v>
                </c:pt>
                <c:pt idx="13">
                  <c:v>30.537773624452228</c:v>
                </c:pt>
                <c:pt idx="14">
                  <c:v>31.301217965063532</c:v>
                </c:pt>
                <c:pt idx="15">
                  <c:v>32.083748414190119</c:v>
                </c:pt>
                <c:pt idx="16">
                  <c:v>32.885842124544865</c:v>
                </c:pt>
                <c:pt idx="17">
                  <c:v>33.707988177658486</c:v>
                </c:pt>
                <c:pt idx="18">
                  <c:v>34.550687882099943</c:v>
                </c:pt>
                <c:pt idx="19">
                  <c:v>35.41445507915244</c:v>
                </c:pt>
                <c:pt idx="20">
                  <c:v>36.299816456131246</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6.2111801242236021E-3</c:v>
                </c:pt>
                <c:pt idx="1">
                  <c:v>9.9378881987577633E-2</c:v>
                </c:pt>
                <c:pt idx="2">
                  <c:v>0.19254658385093168</c:v>
                </c:pt>
                <c:pt idx="3">
                  <c:v>0.2360248447204969</c:v>
                </c:pt>
                <c:pt idx="4">
                  <c:v>0.2236024844720497</c:v>
                </c:pt>
                <c:pt idx="5">
                  <c:v>0.16149068322981366</c:v>
                </c:pt>
                <c:pt idx="6">
                  <c:v>8.0745341614906832E-2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0.81366459627329191</c:v>
                </c:pt>
                <c:pt idx="1">
                  <c:v>9.3167701863354033E-2</c:v>
                </c:pt>
                <c:pt idx="2">
                  <c:v>3.7267080745341616E-2</c:v>
                </c:pt>
                <c:pt idx="3">
                  <c:v>3.1055900621118012E-2</c:v>
                </c:pt>
                <c:pt idx="4">
                  <c:v>1.8633540372670808E-2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28.64</c:v>
                </c:pt>
                <c:pt idx="1">
                  <c:v>17.27</c:v>
                </c:pt>
                <c:pt idx="2">
                  <c:v>14.35</c:v>
                </c:pt>
                <c:pt idx="3">
                  <c:v>17.940000000000001</c:v>
                </c:pt>
                <c:pt idx="4">
                  <c:v>16.77</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0.8666666666666667</c:v>
                </c:pt>
                <c:pt idx="1">
                  <c:v>6.6666666666666666E-2</c:v>
                </c:pt>
                <c:pt idx="2">
                  <c:v>2.6666666666666668E-2</c:v>
                </c:pt>
                <c:pt idx="3">
                  <c:v>2.2222222222222223E-2</c:v>
                </c:pt>
                <c:pt idx="4">
                  <c:v>8.8888888888888889E-3</c:v>
                </c:pt>
                <c:pt idx="5">
                  <c:v>8.8888888888888889E-3</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E07D-4DA9-8104-144E058B8686}"/>
              </c:ext>
            </c:extLst>
          </c:dPt>
          <c:dPt>
            <c:idx val="2"/>
            <c:invertIfNegative val="0"/>
            <c:bubble3D val="0"/>
            <c:spPr>
              <a:solidFill>
                <a:srgbClr val="003E51"/>
              </a:solidFill>
              <a:ln>
                <a:noFill/>
              </a:ln>
              <a:effectLst/>
            </c:spPr>
            <c:extLst>
              <c:ext xmlns:c16="http://schemas.microsoft.com/office/drawing/2014/chart" uri="{C3380CC4-5D6E-409C-BE32-E72D297353CC}">
                <c16:uniqueId val="{00000003-E7F0-4023-BF08-AFDAF5CEAC46}"/>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E07D-4DA9-8104-144E058B8686}"/>
                </c:ext>
              </c:extLst>
            </c:dLbl>
            <c:dLbl>
              <c:idx val="1"/>
              <c:layout>
                <c:manualLayout>
                  <c:x val="-9.0439183701385862E-3"/>
                  <c:y val="-6.349206349206349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dLbl>
              <c:idx val="2"/>
              <c:layout>
                <c:manualLayout>
                  <c:x val="-2.2063658980738077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0-4023-BF08-AFDAF5CEAC46}"/>
                </c:ext>
              </c:extLst>
            </c:dLbl>
            <c:dLbl>
              <c:idx val="5"/>
              <c:layout>
                <c:manualLayout>
                  <c:x val="-6.590953003838689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Tutor</c:v>
                </c:pt>
                <c:pt idx="1">
                  <c:v>Substitute</c:v>
                </c:pt>
                <c:pt idx="2">
                  <c:v>Self-Enrichment Teacher</c:v>
                </c:pt>
                <c:pt idx="3">
                  <c:v>Customer Service Representative</c:v>
                </c:pt>
                <c:pt idx="4">
                  <c:v>Administrative Assistant</c:v>
                </c:pt>
                <c:pt idx="5">
                  <c:v>Kindergarten Teacher</c:v>
                </c:pt>
              </c:strCache>
            </c:strRef>
          </c:cat>
          <c:val>
            <c:numRef>
              <c:f>'5C'!$Z$29:$Z$34</c:f>
              <c:numCache>
                <c:formatCode>"$"#,##0.00</c:formatCode>
                <c:ptCount val="6"/>
                <c:pt idx="0">
                  <c:v>-0.39</c:v>
                </c:pt>
                <c:pt idx="1">
                  <c:v>1.1999999999999993</c:v>
                </c:pt>
                <c:pt idx="2" formatCode="_(&quot;$&quot;* #,##0.00_);_(&quot;$&quot;* \(#,##0.00\);_(&quot;$&quot;* &quot;-&quot;??_);_(@_)">
                  <c:v>1.5199999999999996</c:v>
                </c:pt>
                <c:pt idx="3" formatCode="_(&quot;$&quot;* #,##0.00_);_(&quot;$&quot;* \(#,##0.00\);_(&quot;$&quot;* &quot;-&quot;??_);_(@_)">
                  <c:v>3.74</c:v>
                </c:pt>
                <c:pt idx="4" formatCode="_(&quot;$&quot;* #,##0.00_);_(&quot;$&quot;* \(#,##0.00\);_(&quot;$&quot;* &quot;-&quot;??_);_(@_)">
                  <c:v>4.8400000000000016</c:v>
                </c:pt>
                <c:pt idx="5" formatCode="_(&quot;$&quot;* #,##0.00_);_(&quot;$&quot;* \(#,##0.00\);_(&quot;$&quot;* &quot;-&quot;??_);_(@_)">
                  <c:v>5.2899999999999991</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1</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0.1318051575931232</c:v>
                </c:pt>
                <c:pt idx="2">
                  <c:v>0.24355300859598855</c:v>
                </c:pt>
                <c:pt idx="3">
                  <c:v>0.30372492836676218</c:v>
                </c:pt>
                <c:pt idx="4">
                  <c:v>0.40687679083094558</c:v>
                </c:pt>
                <c:pt idx="5">
                  <c:v>0.42979942693409739</c:v>
                </c:pt>
                <c:pt idx="6">
                  <c:v>0.36962750716332377</c:v>
                </c:pt>
                <c:pt idx="7">
                  <c:v>0.46418338108882523</c:v>
                </c:pt>
                <c:pt idx="8">
                  <c:v>0.62464183381088823</c:v>
                </c:pt>
                <c:pt idx="9">
                  <c:v>0.75358166189111753</c:v>
                </c:pt>
                <c:pt idx="10">
                  <c:v>0.87679083094555876</c:v>
                </c:pt>
                <c:pt idx="11">
                  <c:v>1.0859598853868195</c:v>
                </c:pt>
                <c:pt idx="12">
                  <c:v>1.1146131805157593</c:v>
                </c:pt>
                <c:pt idx="13">
                  <c:v>0.3524355300859599</c:v>
                </c:pt>
                <c:pt idx="14">
                  <c:v>0.33810888252148996</c:v>
                </c:pt>
                <c:pt idx="15">
                  <c:v>-0.2177650429799427</c:v>
                </c:pt>
                <c:pt idx="16">
                  <c:v>-0.17765042979942694</c:v>
                </c:pt>
                <c:pt idx="17">
                  <c:v>-0.19197707736389685</c:v>
                </c:pt>
                <c:pt idx="18">
                  <c:v>-0.53295128939828085</c:v>
                </c:pt>
                <c:pt idx="19">
                  <c:v>-0.63896848137535822</c:v>
                </c:pt>
                <c:pt idx="20">
                  <c:v>-0.65616045845272208</c:v>
                </c:pt>
                <c:pt idx="21">
                  <c:v>-0.5386819484240688</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0.10230743128605362</c:v>
                </c:pt>
                <c:pt idx="2">
                  <c:v>0.2495758398371225</c:v>
                </c:pt>
                <c:pt idx="3">
                  <c:v>0.29733627417712927</c:v>
                </c:pt>
                <c:pt idx="4">
                  <c:v>0.35485239226331861</c:v>
                </c:pt>
                <c:pt idx="5">
                  <c:v>0.43773328808958262</c:v>
                </c:pt>
                <c:pt idx="6">
                  <c:v>0.29674244994910076</c:v>
                </c:pt>
                <c:pt idx="7">
                  <c:v>0.36834068544282322</c:v>
                </c:pt>
                <c:pt idx="8">
                  <c:v>0.43951476077366813</c:v>
                </c:pt>
                <c:pt idx="9">
                  <c:v>0.42848659653885307</c:v>
                </c:pt>
                <c:pt idx="10">
                  <c:v>0.56226671191041733</c:v>
                </c:pt>
                <c:pt idx="11">
                  <c:v>0.69528333898880212</c:v>
                </c:pt>
                <c:pt idx="12">
                  <c:v>0.70758398371224973</c:v>
                </c:pt>
                <c:pt idx="13">
                  <c:v>0.65091618595181544</c:v>
                </c:pt>
                <c:pt idx="14">
                  <c:v>0.71988462843569734</c:v>
                </c:pt>
                <c:pt idx="15">
                  <c:v>0.51756023074312862</c:v>
                </c:pt>
                <c:pt idx="16">
                  <c:v>0.42712928401764505</c:v>
                </c:pt>
                <c:pt idx="17">
                  <c:v>7.3719036308109942E-2</c:v>
                </c:pt>
                <c:pt idx="18">
                  <c:v>-0.21937563624024431</c:v>
                </c:pt>
                <c:pt idx="19">
                  <c:v>-0.54801493043773331</c:v>
                </c:pt>
                <c:pt idx="20">
                  <c:v>-0.66652527994570754</c:v>
                </c:pt>
                <c:pt idx="21">
                  <c:v>-0.58856464200882253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0.10232473707181232</c:v>
                </c:pt>
                <c:pt idx="2">
                  <c:v>0.22068201042056923</c:v>
                </c:pt>
                <c:pt idx="3">
                  <c:v>0.28613307275473038</c:v>
                </c:pt>
                <c:pt idx="4">
                  <c:v>0.36427961732023745</c:v>
                </c:pt>
                <c:pt idx="5">
                  <c:v>0.48646832309171878</c:v>
                </c:pt>
                <c:pt idx="6">
                  <c:v>0.44764417116306376</c:v>
                </c:pt>
                <c:pt idx="7">
                  <c:v>0.62658983202722174</c:v>
                </c:pt>
                <c:pt idx="8">
                  <c:v>0.8178486043466674</c:v>
                </c:pt>
                <c:pt idx="9">
                  <c:v>0.93812159390678651</c:v>
                </c:pt>
                <c:pt idx="10">
                  <c:v>1.1088134532715874</c:v>
                </c:pt>
                <c:pt idx="11">
                  <c:v>1.3093881681349961</c:v>
                </c:pt>
                <c:pt idx="12">
                  <c:v>1.3608112440182147</c:v>
                </c:pt>
                <c:pt idx="13">
                  <c:v>1.3494521283375369</c:v>
                </c:pt>
                <c:pt idx="14">
                  <c:v>1.385252075037368</c:v>
                </c:pt>
                <c:pt idx="15">
                  <c:v>1.322396499183117</c:v>
                </c:pt>
                <c:pt idx="16">
                  <c:v>1.3451379045309007</c:v>
                </c:pt>
                <c:pt idx="17">
                  <c:v>1.2577951496846407</c:v>
                </c:pt>
                <c:pt idx="18">
                  <c:v>1.1328603265214687</c:v>
                </c:pt>
                <c:pt idx="19">
                  <c:v>0.76149333168540545</c:v>
                </c:pt>
                <c:pt idx="20">
                  <c:v>0.48826044470879953</c:v>
                </c:pt>
                <c:pt idx="21">
                  <c:v>0.57210392760446638</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1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0.10143934201507886</c:v>
                </c:pt>
                <c:pt idx="2">
                  <c:v>1.5764222069910926E-2</c:v>
                </c:pt>
                <c:pt idx="3">
                  <c:v>0.50651130911583275</c:v>
                </c:pt>
                <c:pt idx="4">
                  <c:v>0.40986977381768336</c:v>
                </c:pt>
                <c:pt idx="5">
                  <c:v>0.27827278958190532</c:v>
                </c:pt>
                <c:pt idx="6">
                  <c:v>0.12337217272104185</c:v>
                </c:pt>
                <c:pt idx="7">
                  <c:v>-0.25976696367374907</c:v>
                </c:pt>
                <c:pt idx="8">
                  <c:v>0.12405757368060306</c:v>
                </c:pt>
                <c:pt idx="9">
                  <c:v>0.13708019191226867</c:v>
                </c:pt>
                <c:pt idx="10">
                  <c:v>0.13228238519533925</c:v>
                </c:pt>
                <c:pt idx="11">
                  <c:v>5.6202878684030178E-2</c:v>
                </c:pt>
                <c:pt idx="12">
                  <c:v>6.5798492117889018E-2</c:v>
                </c:pt>
                <c:pt idx="13">
                  <c:v>-0.2816997943797121</c:v>
                </c:pt>
                <c:pt idx="14">
                  <c:v>-0.10349554489376284</c:v>
                </c:pt>
                <c:pt idx="15">
                  <c:v>-8.4989718985606602E-2</c:v>
                </c:pt>
                <c:pt idx="16">
                  <c:v>-0.10418094585332417</c:v>
                </c:pt>
                <c:pt idx="17">
                  <c:v>8.2248115147361162E-2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0.37140992167101833</c:v>
                </c:pt>
                <c:pt idx="2">
                  <c:v>0.46736292428198434</c:v>
                </c:pt>
                <c:pt idx="3">
                  <c:v>0.51566579634464738</c:v>
                </c:pt>
                <c:pt idx="4">
                  <c:v>0.15665796344647509</c:v>
                </c:pt>
                <c:pt idx="5">
                  <c:v>0.12010443864229764</c:v>
                </c:pt>
                <c:pt idx="6">
                  <c:v>2.8067885117493453E-2</c:v>
                </c:pt>
                <c:pt idx="7">
                  <c:v>-0.27154046997389036</c:v>
                </c:pt>
                <c:pt idx="8">
                  <c:v>-0.27415143603133163</c:v>
                </c:pt>
                <c:pt idx="9">
                  <c:v>-0.26892950391644915</c:v>
                </c:pt>
                <c:pt idx="10">
                  <c:v>-0.26436031331592691</c:v>
                </c:pt>
                <c:pt idx="11">
                  <c:v>-0.20822454308093991</c:v>
                </c:pt>
                <c:pt idx="12">
                  <c:v>-0.2069190600522193</c:v>
                </c:pt>
                <c:pt idx="13">
                  <c:v>-0.12402088772845955</c:v>
                </c:pt>
                <c:pt idx="14">
                  <c:v>-0.16383812010443863</c:v>
                </c:pt>
                <c:pt idx="15">
                  <c:v>-0.195822454308094</c:v>
                </c:pt>
                <c:pt idx="16">
                  <c:v>-5.7441253263707623E-2</c:v>
                </c:pt>
                <c:pt idx="17">
                  <c:v>-1.8276762402088847E-2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8.94854586129748E-3</c:v>
                </c:pt>
                <c:pt idx="2">
                  <c:v>4.6234153616703896E-2</c:v>
                </c:pt>
                <c:pt idx="3">
                  <c:v>8.8739746457867225E-2</c:v>
                </c:pt>
                <c:pt idx="4">
                  <c:v>0.1193139448173005</c:v>
                </c:pt>
                <c:pt idx="5">
                  <c:v>6.0402684563758427E-2</c:v>
                </c:pt>
                <c:pt idx="6">
                  <c:v>4.6234153616703896E-2</c:v>
                </c:pt>
                <c:pt idx="7">
                  <c:v>-5.2945563012677173E-2</c:v>
                </c:pt>
                <c:pt idx="8">
                  <c:v>-5.5928411633109618E-2</c:v>
                </c:pt>
                <c:pt idx="9">
                  <c:v>-3.65398956002983E-2</c:v>
                </c:pt>
                <c:pt idx="10">
                  <c:v>-2.1625652498135788E-2</c:v>
                </c:pt>
                <c:pt idx="11">
                  <c:v>8.94854586129748E-3</c:v>
                </c:pt>
                <c:pt idx="12">
                  <c:v>2.3862788963460127E-2</c:v>
                </c:pt>
                <c:pt idx="13">
                  <c:v>3.5794183445190191E-2</c:v>
                </c:pt>
                <c:pt idx="14">
                  <c:v>3.2811334824757607E-2</c:v>
                </c:pt>
                <c:pt idx="15">
                  <c:v>5.3691275167785282E-2</c:v>
                </c:pt>
                <c:pt idx="16">
                  <c:v>7.9791200596569745E-2</c:v>
                </c:pt>
                <c:pt idx="17">
                  <c:v>0.26398210290827734</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0.16354114317454441</c:v>
                </c:pt>
                <c:pt idx="1">
                  <c:v>0.12595551088422779</c:v>
                </c:pt>
                <c:pt idx="2">
                  <c:v>8.9084032057555482E-2</c:v>
                </c:pt>
                <c:pt idx="3">
                  <c:v>6.3824159547173798E-2</c:v>
                </c:pt>
                <c:pt idx="4">
                  <c:v>6.1364297616843443E-2</c:v>
                </c:pt>
                <c:pt idx="5">
                  <c:v>5.7158727219827017E-2</c:v>
                </c:pt>
                <c:pt idx="6">
                  <c:v>5.6682624910730818E-2</c:v>
                </c:pt>
                <c:pt idx="7">
                  <c:v>5.4169862723834214E-2</c:v>
                </c:pt>
                <c:pt idx="8">
                  <c:v>5.1419049382389503E-2</c:v>
                </c:pt>
                <c:pt idx="9">
                  <c:v>4.7372179755071811E-2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0.14864015797504712</c:v>
                </c:pt>
                <c:pt idx="1">
                  <c:v>0.13481734135176376</c:v>
                </c:pt>
                <c:pt idx="2">
                  <c:v>0.11857104389193071</c:v>
                </c:pt>
                <c:pt idx="3">
                  <c:v>0.11224306615205099</c:v>
                </c:pt>
                <c:pt idx="4">
                  <c:v>9.6759716362983569E-2</c:v>
                </c:pt>
                <c:pt idx="5">
                  <c:v>9.604164796696886E-2</c:v>
                </c:pt>
                <c:pt idx="6">
                  <c:v>7.6384525626065888E-2</c:v>
                </c:pt>
                <c:pt idx="7">
                  <c:v>7.2076115249977563E-2</c:v>
                </c:pt>
                <c:pt idx="8">
                  <c:v>7.0774616282200886E-2</c:v>
                </c:pt>
                <c:pt idx="9">
                  <c:v>6.9158962391167755E-2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#,##0</c:formatCode>
                <c:ptCount val="60"/>
                <c:pt idx="0">
                  <c:v>3</c:v>
                </c:pt>
                <c:pt idx="1">
                  <c:v>19</c:v>
                </c:pt>
                <c:pt idx="2">
                  <c:v>23</c:v>
                </c:pt>
                <c:pt idx="3">
                  <c:v>4</c:v>
                </c:pt>
                <c:pt idx="4">
                  <c:v>4</c:v>
                </c:pt>
                <c:pt idx="5">
                  <c:v>3</c:v>
                </c:pt>
                <c:pt idx="6">
                  <c:v>9</c:v>
                </c:pt>
                <c:pt idx="7">
                  <c:v>9</c:v>
                </c:pt>
                <c:pt idx="8">
                  <c:v>8</c:v>
                </c:pt>
                <c:pt idx="9">
                  <c:v>1</c:v>
                </c:pt>
                <c:pt idx="10">
                  <c:v>2</c:v>
                </c:pt>
                <c:pt idx="11">
                  <c:v>2</c:v>
                </c:pt>
                <c:pt idx="12">
                  <c:v>1</c:v>
                </c:pt>
                <c:pt idx="13">
                  <c:v>0</c:v>
                </c:pt>
                <c:pt idx="14">
                  <c:v>0</c:v>
                </c:pt>
                <c:pt idx="15">
                  <c:v>0</c:v>
                </c:pt>
                <c:pt idx="16">
                  <c:v>0</c:v>
                </c:pt>
                <c:pt idx="17">
                  <c:v>0</c:v>
                </c:pt>
                <c:pt idx="18">
                  <c:v>0</c:v>
                </c:pt>
                <c:pt idx="19">
                  <c:v>0</c:v>
                </c:pt>
                <c:pt idx="20">
                  <c:v>0</c:v>
                </c:pt>
                <c:pt idx="21">
                  <c:v>0</c:v>
                </c:pt>
                <c:pt idx="22">
                  <c:v>0</c:v>
                </c:pt>
                <c:pt idx="23">
                  <c:v>1</c:v>
                </c:pt>
                <c:pt idx="24">
                  <c:v>5</c:v>
                </c:pt>
                <c:pt idx="25">
                  <c:v>8</c:v>
                </c:pt>
                <c:pt idx="26">
                  <c:v>7</c:v>
                </c:pt>
                <c:pt idx="27">
                  <c:v>3</c:v>
                </c:pt>
                <c:pt idx="28">
                  <c:v>3</c:v>
                </c:pt>
                <c:pt idx="29">
                  <c:v>5</c:v>
                </c:pt>
                <c:pt idx="30">
                  <c:v>4</c:v>
                </c:pt>
                <c:pt idx="31">
                  <c:v>3</c:v>
                </c:pt>
                <c:pt idx="32">
                  <c:v>1</c:v>
                </c:pt>
                <c:pt idx="33">
                  <c:v>1</c:v>
                </c:pt>
                <c:pt idx="34">
                  <c:v>1</c:v>
                </c:pt>
                <c:pt idx="35">
                  <c:v>3</c:v>
                </c:pt>
                <c:pt idx="36">
                  <c:v>4</c:v>
                </c:pt>
                <c:pt idx="37">
                  <c:v>5</c:v>
                </c:pt>
                <c:pt idx="38">
                  <c:v>6</c:v>
                </c:pt>
                <c:pt idx="39">
                  <c:v>8</c:v>
                </c:pt>
                <c:pt idx="40">
                  <c:v>6</c:v>
                </c:pt>
                <c:pt idx="41">
                  <c:v>4</c:v>
                </c:pt>
                <c:pt idx="42">
                  <c:v>1</c:v>
                </c:pt>
                <c:pt idx="43">
                  <c:v>0</c:v>
                </c:pt>
                <c:pt idx="44">
                  <c:v>0</c:v>
                </c:pt>
                <c:pt idx="45">
                  <c:v>0</c:v>
                </c:pt>
                <c:pt idx="46">
                  <c:v>1</c:v>
                </c:pt>
                <c:pt idx="47">
                  <c:v>1</c:v>
                </c:pt>
                <c:pt idx="48">
                  <c:v>4</c:v>
                </c:pt>
                <c:pt idx="49">
                  <c:v>4</c:v>
                </c:pt>
                <c:pt idx="50">
                  <c:v>4</c:v>
                </c:pt>
                <c:pt idx="51">
                  <c:v>1</c:v>
                </c:pt>
                <c:pt idx="52">
                  <c:v>1</c:v>
                </c:pt>
                <c:pt idx="53">
                  <c:v>1</c:v>
                </c:pt>
                <c:pt idx="54">
                  <c:v>2</c:v>
                </c:pt>
                <c:pt idx="55">
                  <c:v>4</c:v>
                </c:pt>
                <c:pt idx="56">
                  <c:v>4</c:v>
                </c:pt>
                <c:pt idx="57">
                  <c:v>5</c:v>
                </c:pt>
                <c:pt idx="58">
                  <c:v>2</c:v>
                </c:pt>
                <c:pt idx="59">
                  <c:v>1</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6"/>
                <c:pt idx="0">
                  <c:v>Ess</c:v>
                </c:pt>
                <c:pt idx="1">
                  <c:v>Ess Midwest</c:v>
                </c:pt>
                <c:pt idx="2">
                  <c:v>Ironwood Area Schools of Gogebic County</c:v>
                </c:pt>
                <c:pt idx="3">
                  <c:v>Willsub</c:v>
                </c:pt>
                <c:pt idx="4">
                  <c:v>Ewen Trout Creek School</c:v>
                </c:pt>
                <c:pt idx="5">
                  <c:v>Gogebic-Ontonagon ISD</c:v>
                </c:pt>
              </c:strCache>
            </c:strRef>
          </c:cat>
          <c:val>
            <c:numRef>
              <c:f>'5F'!$G$5:$G$14</c:f>
              <c:numCache>
                <c:formatCode>#,##0</c:formatCode>
                <c:ptCount val="10"/>
                <c:pt idx="0">
                  <c:v>4</c:v>
                </c:pt>
                <c:pt idx="1">
                  <c:v>3</c:v>
                </c:pt>
                <c:pt idx="2">
                  <c:v>3</c:v>
                </c:pt>
                <c:pt idx="3">
                  <c:v>2</c:v>
                </c:pt>
                <c:pt idx="4">
                  <c:v>1</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28.64</c:v>
                </c:pt>
                <c:pt idx="1">
                  <c:v>17.27</c:v>
                </c:pt>
                <c:pt idx="2">
                  <c:v>15.74</c:v>
                </c:pt>
                <c:pt idx="3">
                  <c:v>21.55</c:v>
                </c:pt>
                <c:pt idx="4">
                  <c:v>17.55</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0-C04A-4EAE-AB2E-0DBDFAB1B445}"/>
              </c:ext>
            </c:extLst>
          </c:dPt>
          <c:dPt>
            <c:idx val="2"/>
            <c:invertIfNegative val="0"/>
            <c:bubble3D val="0"/>
            <c:spPr>
              <a:solidFill>
                <a:srgbClr val="D45D00"/>
              </a:solidFill>
              <a:ln>
                <a:noFill/>
              </a:ln>
              <a:effectLst/>
            </c:spPr>
            <c:extLst>
              <c:ext xmlns:c16="http://schemas.microsoft.com/office/drawing/2014/chart" uri="{C3380CC4-5D6E-409C-BE32-E72D297353CC}">
                <c16:uniqueId val="{00000002-75B2-4DEC-9FEF-0D4561803B35}"/>
              </c:ext>
            </c:extLst>
          </c:dPt>
          <c:dLbls>
            <c:dLbl>
              <c:idx val="0"/>
              <c:layout>
                <c:manualLayout>
                  <c:x val="-1.2587139962553541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B2-4DEC-9FEF-0D4561803B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Self-Enrichment Teacher</c:v>
                </c:pt>
                <c:pt idx="1">
                  <c:v>Kindergarten Teacher</c:v>
                </c:pt>
                <c:pt idx="2">
                  <c:v>Lead Teacher</c:v>
                </c:pt>
                <c:pt idx="3">
                  <c:v>Bank Teller</c:v>
                </c:pt>
                <c:pt idx="4">
                  <c:v>Office Clerk</c:v>
                </c:pt>
                <c:pt idx="5">
                  <c:v>Psychiatric Aide</c:v>
                </c:pt>
              </c:strCache>
            </c:strRef>
          </c:cat>
          <c:val>
            <c:numRef>
              <c:f>'2C'!$Z$29:$Z$34</c:f>
              <c:numCache>
                <c:formatCode>"$"#,##0.00</c:formatCode>
                <c:ptCount val="6"/>
                <c:pt idx="0">
                  <c:v>1.5199999999999996</c:v>
                </c:pt>
                <c:pt idx="1">
                  <c:v>5.2899999999999991</c:v>
                </c:pt>
                <c:pt idx="2">
                  <c:v>5.7299999999999986</c:v>
                </c:pt>
                <c:pt idx="3">
                  <c:v>5.73</c:v>
                </c:pt>
                <c:pt idx="4">
                  <c:v>6.16</c:v>
                </c:pt>
                <c:pt idx="5">
                  <c:v>9.4300000000000015</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1</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9.3457943925233638E-3</c:v>
                </c:pt>
                <c:pt idx="2">
                  <c:v>3.2710280373831772E-2</c:v>
                </c:pt>
                <c:pt idx="3">
                  <c:v>4.2056074766355138E-2</c:v>
                </c:pt>
                <c:pt idx="4">
                  <c:v>3.2710280373831772E-2</c:v>
                </c:pt>
                <c:pt idx="5">
                  <c:v>0.15887850467289719</c:v>
                </c:pt>
                <c:pt idx="6">
                  <c:v>0.17289719626168223</c:v>
                </c:pt>
                <c:pt idx="7">
                  <c:v>0.23831775700934579</c:v>
                </c:pt>
                <c:pt idx="8">
                  <c:v>0.26168224299065418</c:v>
                </c:pt>
                <c:pt idx="9">
                  <c:v>0.20093457943925233</c:v>
                </c:pt>
                <c:pt idx="10">
                  <c:v>7.9439252336448593E-2</c:v>
                </c:pt>
                <c:pt idx="11">
                  <c:v>9.8130841121495324E-2</c:v>
                </c:pt>
                <c:pt idx="12">
                  <c:v>0.14953271028037382</c:v>
                </c:pt>
                <c:pt idx="13">
                  <c:v>0.13084112149532709</c:v>
                </c:pt>
                <c:pt idx="14">
                  <c:v>0.11214953271028037</c:v>
                </c:pt>
                <c:pt idx="15">
                  <c:v>0.11682242990654206</c:v>
                </c:pt>
                <c:pt idx="16">
                  <c:v>0.20093457943925233</c:v>
                </c:pt>
                <c:pt idx="17">
                  <c:v>0.23831775700934579</c:v>
                </c:pt>
                <c:pt idx="18">
                  <c:v>0.23831775700934579</c:v>
                </c:pt>
                <c:pt idx="19">
                  <c:v>8.4112149532710276E-2</c:v>
                </c:pt>
                <c:pt idx="20">
                  <c:v>0.13551401869158877</c:v>
                </c:pt>
                <c:pt idx="21">
                  <c:v>5.1401869158878503E-2</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1.7847445180070715E-2</c:v>
                </c:pt>
                <c:pt idx="2">
                  <c:v>1.9798969867910465E-2</c:v>
                </c:pt>
                <c:pt idx="3">
                  <c:v>9.9724359054114489E-3</c:v>
                </c:pt>
                <c:pt idx="4">
                  <c:v>1.1145175712462107E-2</c:v>
                </c:pt>
                <c:pt idx="5">
                  <c:v>2.0266771281965777E-2</c:v>
                </c:pt>
                <c:pt idx="6">
                  <c:v>1.8753670565217671E-2</c:v>
                </c:pt>
                <c:pt idx="7">
                  <c:v>9.2477621443715179E-3</c:v>
                </c:pt>
                <c:pt idx="8">
                  <c:v>-1.4018547029773008E-2</c:v>
                </c:pt>
                <c:pt idx="9">
                  <c:v>-3.7182737969035123E-2</c:v>
                </c:pt>
                <c:pt idx="10">
                  <c:v>-8.0409276982163672E-2</c:v>
                </c:pt>
                <c:pt idx="11">
                  <c:v>-0.10461428836405151</c:v>
                </c:pt>
                <c:pt idx="12">
                  <c:v>-9.0989247402495518E-2</c:v>
                </c:pt>
                <c:pt idx="13">
                  <c:v>-9.5986294109940834E-2</c:v>
                </c:pt>
                <c:pt idx="14">
                  <c:v>-4.6123250150641566E-2</c:v>
                </c:pt>
                <c:pt idx="15">
                  <c:v>2.1618551171086148E-2</c:v>
                </c:pt>
                <c:pt idx="16">
                  <c:v>0.10425999071854927</c:v>
                </c:pt>
                <c:pt idx="17">
                  <c:v>0.13109510804227403</c:v>
                </c:pt>
                <c:pt idx="18">
                  <c:v>0.16017978046138734</c:v>
                </c:pt>
                <c:pt idx="19">
                  <c:v>-2.9703755584866133E-2</c:v>
                </c:pt>
                <c:pt idx="20">
                  <c:v>-1.0432724006195455E-4</c:v>
                </c:pt>
                <c:pt idx="21">
                  <c:v>2.3581134832565114E-2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3.3312888139231771E-2</c:v>
                </c:pt>
                <c:pt idx="2">
                  <c:v>4.7321839300774361E-2</c:v>
                </c:pt>
                <c:pt idx="3">
                  <c:v>5.1299068465843749E-2</c:v>
                </c:pt>
                <c:pt idx="4">
                  <c:v>6.2361036571340948E-2</c:v>
                </c:pt>
                <c:pt idx="5">
                  <c:v>0.10321388867591812</c:v>
                </c:pt>
                <c:pt idx="6">
                  <c:v>0.15439316108257303</c:v>
                </c:pt>
                <c:pt idx="7">
                  <c:v>0.17591332515525571</c:v>
                </c:pt>
                <c:pt idx="8">
                  <c:v>0.15261059572184313</c:v>
                </c:pt>
                <c:pt idx="9">
                  <c:v>0.10796739630453117</c:v>
                </c:pt>
                <c:pt idx="10">
                  <c:v>3.6899582151345547E-2</c:v>
                </c:pt>
                <c:pt idx="11">
                  <c:v>0.10689881545656674</c:v>
                </c:pt>
                <c:pt idx="12">
                  <c:v>4.7671643793605764E-2</c:v>
                </c:pt>
                <c:pt idx="13">
                  <c:v>5.3457793452426586E-2</c:v>
                </c:pt>
                <c:pt idx="14">
                  <c:v>9.1440331978839218E-2</c:v>
                </c:pt>
                <c:pt idx="15">
                  <c:v>0.1299236180326612</c:v>
                </c:pt>
                <c:pt idx="16">
                  <c:v>0.18739457946791382</c:v>
                </c:pt>
                <c:pt idx="17">
                  <c:v>0.21872604078816224</c:v>
                </c:pt>
                <c:pt idx="18">
                  <c:v>0.25828749137468376</c:v>
                </c:pt>
                <c:pt idx="19">
                  <c:v>0.10035555470367247</c:v>
                </c:pt>
                <c:pt idx="20">
                  <c:v>0.16092204630836465</c:v>
                </c:pt>
                <c:pt idx="21">
                  <c:v>0.21309083416391936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28575</xdr:colOff>
      <xdr:row>46</xdr:row>
      <xdr:rowOff>38100</xdr:rowOff>
    </xdr:from>
    <xdr:to>
      <xdr:col>2</xdr:col>
      <xdr:colOff>2705100</xdr:colOff>
      <xdr:row>49</xdr:row>
      <xdr:rowOff>95250</xdr:rowOff>
    </xdr:to>
    <xdr:sp macro="" textlink="">
      <xdr:nvSpPr>
        <xdr:cNvPr id="2" name="TextBox 1">
          <a:extLst>
            <a:ext uri="{FF2B5EF4-FFF2-40B4-BE49-F238E27FC236}">
              <a16:creationId xmlns:a16="http://schemas.microsoft.com/office/drawing/2014/main" id="{91A77296-CBFE-443E-BE97-E4F26D480CCF}"/>
            </a:ext>
          </a:extLst>
        </xdr:cNvPr>
        <xdr:cNvSpPr txBox="1"/>
      </xdr:nvSpPr>
      <xdr:spPr>
        <a:xfrm>
          <a:off x="28575" y="8972550"/>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85725</xdr:colOff>
      <xdr:row>42</xdr:row>
      <xdr:rowOff>28575</xdr:rowOff>
    </xdr:from>
    <xdr:to>
      <xdr:col>2</xdr:col>
      <xdr:colOff>367665</xdr:colOff>
      <xdr:row>46</xdr:row>
      <xdr:rowOff>20955</xdr:rowOff>
    </xdr:to>
    <xdr:pic>
      <xdr:nvPicPr>
        <xdr:cNvPr id="3" name="Picture 27">
          <a:extLst>
            <a:ext uri="{FF2B5EF4-FFF2-40B4-BE49-F238E27FC236}">
              <a16:creationId xmlns:a16="http://schemas.microsoft.com/office/drawing/2014/main" id="{BFA93371-DB50-4880-8D91-8D508FECA3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8239125"/>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714749"/>
          <a:ext cx="10721182" cy="4053840"/>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8844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1,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80010</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44101" cy="4981575"/>
          <a:chOff x="2571749" y="704319"/>
          <a:chExt cx="9877426"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95625" y="2726832"/>
            <a:ext cx="9353550" cy="680630"/>
            <a:chOff x="3095625" y="2726832"/>
            <a:chExt cx="9353550"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95625" y="338284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87076" y="272683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66676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44101" cy="4943475"/>
          <a:chOff x="2571749" y="704319"/>
          <a:chExt cx="9877426"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095625" y="3074518"/>
            <a:ext cx="9353550" cy="680630"/>
            <a:chOff x="3095625" y="3074518"/>
            <a:chExt cx="9353550"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095625" y="373053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87076" y="307451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1,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83889"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567374"/>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547987"/>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$13.78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2174548"/>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2041062"/>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$18.31</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845101"/>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7" y="1342365"/>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$20.14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276225</xdr:colOff>
      <xdr:row>25</xdr:row>
      <xdr:rowOff>104775</xdr:rowOff>
    </xdr:from>
    <xdr:to>
      <xdr:col>28</xdr:col>
      <xdr:colOff>342900</xdr:colOff>
      <xdr:row>35</xdr:row>
      <xdr:rowOff>171450</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306800" y="5353050"/>
          <a:ext cx="2924175" cy="2000250"/>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581399"/>
          <a:ext cx="10721182" cy="404812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2876876"/>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1,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104775</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944101" cy="4947285"/>
          <a:chOff x="2571749" y="704319"/>
          <a:chExt cx="9877426"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95625" y="2076307"/>
            <a:ext cx="9353550" cy="680630"/>
            <a:chOff x="3095625" y="2076307"/>
            <a:chExt cx="9353550"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95625" y="273232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87076" y="207630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95251</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934576" cy="4933950"/>
          <a:chOff x="2571749" y="704319"/>
          <a:chExt cx="9867901"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95625" y="2410180"/>
            <a:ext cx="9344025" cy="680630"/>
            <a:chOff x="3095625" y="2410180"/>
            <a:chExt cx="9344025"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95625" y="243585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77551" y="24101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1,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93.9%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6.1%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124700"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1,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556895"/>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557717"/>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$11.61</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308077"/>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5" y="2041942"/>
              <a:ext cx="242332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$13.73</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711395"/>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222057"/>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$15.10</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276225</xdr:colOff>
      <xdr:row>26</xdr:row>
      <xdr:rowOff>190500</xdr:rowOff>
    </xdr:from>
    <xdr:to>
      <xdr:col>28</xdr:col>
      <xdr:colOff>342900</xdr:colOff>
      <xdr:row>37</xdr:row>
      <xdr:rowOff>57150</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306800" y="5629275"/>
          <a:ext cx="2924175" cy="2000250"/>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529964"/>
          <a:ext cx="10721182" cy="4053840"/>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1</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8692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1, because there are too few Aide/Floatersjobs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095625" y="2566855"/>
            <a:ext cx="9353550" cy="680630"/>
            <a:chOff x="3095625" y="2566855"/>
            <a:chExt cx="9353550"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095625" y="3222868"/>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2566855"/>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2162176</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953626" cy="4933950"/>
          <a:chOff x="2571749" y="704319"/>
          <a:chExt cx="9867901"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095625" y="2953047"/>
            <a:ext cx="9344025" cy="680630"/>
            <a:chOff x="3095625" y="2953047"/>
            <a:chExt cx="9344025"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095625" y="297872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77551" y="295304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1</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142875</xdr:colOff>
      <xdr:row>2</xdr:row>
      <xdr:rowOff>33337</xdr:rowOff>
    </xdr:from>
    <xdr:to>
      <xdr:col>26</xdr:col>
      <xdr:colOff>192589</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077575" y="519112"/>
          <a:ext cx="6755314"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1,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1" y="2355195"/>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335808"/>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$15.79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85843"/>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1905529"/>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$18.31</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flipV="1">
            <a:off x="11889106" y="1834649"/>
            <a:ext cx="6892099" cy="2070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209039"/>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$20.14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104775</xdr:colOff>
      <xdr:row>26</xdr:row>
      <xdr:rowOff>171450</xdr:rowOff>
    </xdr:from>
    <xdr:to>
      <xdr:col>28</xdr:col>
      <xdr:colOff>171450</xdr:colOff>
      <xdr:row>37</xdr:row>
      <xdr:rowOff>38100</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106775" y="5610225"/>
          <a:ext cx="2924175" cy="2000250"/>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558539"/>
          <a:ext cx="10721182" cy="4053840"/>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1</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8692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1,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32</xdr:col>
      <xdr:colOff>2215091</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942196" cy="4984538"/>
          <a:chOff x="2571749" y="704319"/>
          <a:chExt cx="9820276"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86100" y="3395949"/>
            <a:ext cx="9305925" cy="680630"/>
            <a:chOff x="3086100" y="3395949"/>
            <a:chExt cx="9305925"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86100" y="4049401"/>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29926" y="339594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33</xdr:col>
      <xdr:colOff>11431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963151" cy="4914053"/>
          <a:chOff x="2571749" y="704319"/>
          <a:chExt cx="9820276"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114265" y="2620478"/>
            <a:ext cx="9277760" cy="680630"/>
            <a:chOff x="3114265" y="2620478"/>
            <a:chExt cx="9277760"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114265" y="3273936"/>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829926" y="262047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$27.33</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1,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98.2%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43903"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165085"/>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2164404"/>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$14.79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563692"/>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550744"/>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$24.41</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1287666"/>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809557"/>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$26.85</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333375</xdr:colOff>
      <xdr:row>25</xdr:row>
      <xdr:rowOff>152400</xdr:rowOff>
    </xdr:from>
    <xdr:to>
      <xdr:col>28</xdr:col>
      <xdr:colOff>400050</xdr:colOff>
      <xdr:row>36</xdr:row>
      <xdr:rowOff>19050</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287750" y="5400675"/>
          <a:ext cx="2924175" cy="2000250"/>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32" workbookViewId="0">
      <selection activeCell="K48" sqref="K48"/>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7" t="s">
        <v>0</v>
      </c>
      <c r="B1" s="227"/>
      <c r="C1" s="227"/>
    </row>
    <row r="2" spans="1:3" ht="56.25" customHeight="1" x14ac:dyDescent="0.2">
      <c r="A2" s="228" t="s">
        <v>378</v>
      </c>
      <c r="B2" s="229"/>
      <c r="C2" s="229"/>
    </row>
    <row r="3" spans="1:3" x14ac:dyDescent="0.2">
      <c r="A3" s="233" t="s">
        <v>1</v>
      </c>
      <c r="B3" s="234"/>
      <c r="C3" s="234"/>
    </row>
    <row r="4" spans="1:3" x14ac:dyDescent="0.2">
      <c r="A4" s="8"/>
      <c r="B4" s="9"/>
      <c r="C4" s="9"/>
    </row>
    <row r="5" spans="1:3" x14ac:dyDescent="0.2">
      <c r="A5" s="230" t="s">
        <v>2</v>
      </c>
      <c r="B5" s="230"/>
      <c r="C5" s="230"/>
    </row>
    <row r="6" spans="1:3" x14ac:dyDescent="0.2">
      <c r="A6" s="231" t="s">
        <v>3</v>
      </c>
      <c r="B6" s="231"/>
      <c r="C6" s="231"/>
    </row>
    <row r="7" spans="1:3" x14ac:dyDescent="0.2">
      <c r="A7" s="231"/>
      <c r="B7" s="231"/>
      <c r="C7" s="231"/>
    </row>
    <row r="8" spans="1:3" x14ac:dyDescent="0.2">
      <c r="A8" s="232" t="s">
        <v>4</v>
      </c>
      <c r="B8" s="2" t="s">
        <v>5</v>
      </c>
      <c r="C8" s="3" t="s">
        <v>6</v>
      </c>
    </row>
    <row r="9" spans="1:3" x14ac:dyDescent="0.2">
      <c r="A9" s="232"/>
      <c r="B9" s="2" t="s">
        <v>7</v>
      </c>
      <c r="C9" s="3" t="s">
        <v>8</v>
      </c>
    </row>
    <row r="10" spans="1:3" x14ac:dyDescent="0.2">
      <c r="A10" s="4"/>
      <c r="B10" s="5"/>
      <c r="C10" s="4"/>
    </row>
    <row r="11" spans="1:3" ht="14.25" customHeight="1" x14ac:dyDescent="0.2">
      <c r="A11" s="223" t="s">
        <v>9</v>
      </c>
      <c r="B11" s="7" t="s">
        <v>5</v>
      </c>
      <c r="C11" s="6" t="s">
        <v>10</v>
      </c>
    </row>
    <row r="12" spans="1:3" x14ac:dyDescent="0.2">
      <c r="A12" s="223"/>
      <c r="B12" s="7" t="s">
        <v>7</v>
      </c>
      <c r="C12" s="6" t="s">
        <v>11</v>
      </c>
    </row>
    <row r="13" spans="1:3" x14ac:dyDescent="0.2">
      <c r="A13" s="223"/>
      <c r="B13" s="7" t="s">
        <v>12</v>
      </c>
      <c r="C13" s="6" t="s">
        <v>13</v>
      </c>
    </row>
    <row r="14" spans="1:3" x14ac:dyDescent="0.2">
      <c r="A14" s="223"/>
      <c r="B14" s="7" t="s">
        <v>14</v>
      </c>
      <c r="C14" s="6" t="s">
        <v>15</v>
      </c>
    </row>
    <row r="15" spans="1:3" x14ac:dyDescent="0.2">
      <c r="A15" s="223"/>
      <c r="B15" s="7" t="s">
        <v>16</v>
      </c>
      <c r="C15" s="6" t="s">
        <v>17</v>
      </c>
    </row>
    <row r="16" spans="1:3" x14ac:dyDescent="0.2">
      <c r="A16" s="223"/>
      <c r="B16" s="7" t="s">
        <v>18</v>
      </c>
      <c r="C16" s="6" t="s">
        <v>19</v>
      </c>
    </row>
    <row r="17" spans="1:3" x14ac:dyDescent="0.2">
      <c r="A17" s="30"/>
      <c r="B17" s="7" t="s">
        <v>20</v>
      </c>
      <c r="C17" s="6" t="s">
        <v>21</v>
      </c>
    </row>
    <row r="18" spans="1:3" x14ac:dyDescent="0.2">
      <c r="A18" s="4"/>
      <c r="B18" s="5"/>
      <c r="C18" s="4"/>
    </row>
    <row r="19" spans="1:3" x14ac:dyDescent="0.2">
      <c r="A19" s="224" t="s">
        <v>22</v>
      </c>
      <c r="B19" s="26" t="s">
        <v>5</v>
      </c>
      <c r="C19" s="6" t="s">
        <v>10</v>
      </c>
    </row>
    <row r="20" spans="1:3" x14ac:dyDescent="0.2">
      <c r="A20" s="224"/>
      <c r="B20" s="26" t="s">
        <v>7</v>
      </c>
      <c r="C20" s="6" t="s">
        <v>11</v>
      </c>
    </row>
    <row r="21" spans="1:3" x14ac:dyDescent="0.2">
      <c r="A21" s="224"/>
      <c r="B21" s="26" t="s">
        <v>12</v>
      </c>
      <c r="C21" s="6" t="s">
        <v>13</v>
      </c>
    </row>
    <row r="22" spans="1:3" x14ac:dyDescent="0.2">
      <c r="A22" s="224"/>
      <c r="B22" s="26" t="s">
        <v>14</v>
      </c>
      <c r="C22" s="6" t="s">
        <v>15</v>
      </c>
    </row>
    <row r="23" spans="1:3" x14ac:dyDescent="0.2">
      <c r="A23" s="224"/>
      <c r="B23" s="26" t="s">
        <v>16</v>
      </c>
      <c r="C23" s="6" t="s">
        <v>17</v>
      </c>
    </row>
    <row r="24" spans="1:3" x14ac:dyDescent="0.2">
      <c r="A24" s="224"/>
      <c r="B24" s="26" t="s">
        <v>18</v>
      </c>
      <c r="C24" s="6" t="s">
        <v>19</v>
      </c>
    </row>
    <row r="25" spans="1:3" x14ac:dyDescent="0.2">
      <c r="A25" s="31"/>
      <c r="B25" s="26" t="s">
        <v>20</v>
      </c>
      <c r="C25" s="6" t="s">
        <v>21</v>
      </c>
    </row>
    <row r="26" spans="1:3" x14ac:dyDescent="0.2">
      <c r="A26" s="4"/>
      <c r="B26" s="5"/>
      <c r="C26" s="4"/>
    </row>
    <row r="27" spans="1:3" x14ac:dyDescent="0.2">
      <c r="A27" s="225" t="s">
        <v>23</v>
      </c>
      <c r="B27" s="27" t="s">
        <v>5</v>
      </c>
      <c r="C27" s="6" t="s">
        <v>10</v>
      </c>
    </row>
    <row r="28" spans="1:3" x14ac:dyDescent="0.2">
      <c r="A28" s="225"/>
      <c r="B28" s="27" t="s">
        <v>7</v>
      </c>
      <c r="C28" s="6" t="s">
        <v>11</v>
      </c>
    </row>
    <row r="29" spans="1:3" x14ac:dyDescent="0.2">
      <c r="A29" s="225"/>
      <c r="B29" s="27" t="s">
        <v>12</v>
      </c>
      <c r="C29" s="6" t="s">
        <v>13</v>
      </c>
    </row>
    <row r="30" spans="1:3" x14ac:dyDescent="0.2">
      <c r="A30" s="225"/>
      <c r="B30" s="27" t="s">
        <v>14</v>
      </c>
      <c r="C30" s="6" t="s">
        <v>15</v>
      </c>
    </row>
    <row r="31" spans="1:3" ht="14.45" customHeight="1" x14ac:dyDescent="0.2">
      <c r="A31" s="225"/>
      <c r="B31" s="27" t="s">
        <v>16</v>
      </c>
      <c r="C31" s="6" t="s">
        <v>17</v>
      </c>
    </row>
    <row r="32" spans="1:3" x14ac:dyDescent="0.2">
      <c r="A32" s="225"/>
      <c r="B32" s="27" t="s">
        <v>18</v>
      </c>
      <c r="C32" s="6" t="s">
        <v>19</v>
      </c>
    </row>
    <row r="33" spans="1:3" x14ac:dyDescent="0.2">
      <c r="A33" s="32"/>
      <c r="B33" s="27" t="s">
        <v>20</v>
      </c>
      <c r="C33" s="6" t="s">
        <v>21</v>
      </c>
    </row>
    <row r="34" spans="1:3" x14ac:dyDescent="0.2">
      <c r="A34" s="4"/>
      <c r="B34" s="5"/>
      <c r="C34" s="4"/>
    </row>
    <row r="35" spans="1:3" x14ac:dyDescent="0.2">
      <c r="A35" s="226" t="s">
        <v>24</v>
      </c>
      <c r="B35" s="29" t="s">
        <v>5</v>
      </c>
      <c r="C35" s="6" t="s">
        <v>10</v>
      </c>
    </row>
    <row r="36" spans="1:3" x14ac:dyDescent="0.2">
      <c r="A36" s="226"/>
      <c r="B36" s="29" t="s">
        <v>7</v>
      </c>
      <c r="C36" s="6" t="s">
        <v>11</v>
      </c>
    </row>
    <row r="37" spans="1:3" x14ac:dyDescent="0.2">
      <c r="A37" s="226"/>
      <c r="B37" s="29" t="s">
        <v>12</v>
      </c>
      <c r="C37" s="6" t="s">
        <v>13</v>
      </c>
    </row>
    <row r="38" spans="1:3" x14ac:dyDescent="0.2">
      <c r="A38" s="226"/>
      <c r="B38" s="29" t="s">
        <v>14</v>
      </c>
      <c r="C38" s="6" t="s">
        <v>15</v>
      </c>
    </row>
    <row r="39" spans="1:3" x14ac:dyDescent="0.2">
      <c r="A39" s="226"/>
      <c r="B39" s="29" t="s">
        <v>16</v>
      </c>
      <c r="C39" s="6" t="s">
        <v>17</v>
      </c>
    </row>
    <row r="40" spans="1:3" x14ac:dyDescent="0.2">
      <c r="A40" s="226"/>
      <c r="B40" s="29" t="s">
        <v>18</v>
      </c>
      <c r="C40" s="6" t="s">
        <v>19</v>
      </c>
    </row>
    <row r="41" spans="1:3" x14ac:dyDescent="0.2">
      <c r="A41" s="33"/>
      <c r="B41" s="29" t="s">
        <v>20</v>
      </c>
      <c r="C41" s="6" t="s">
        <v>21</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C11" sqref="C11"/>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39" t="s">
        <v>259</v>
      </c>
      <c r="B1" s="239"/>
      <c r="C1" s="239"/>
      <c r="D1" s="239"/>
      <c r="E1" s="239"/>
      <c r="F1" s="239"/>
      <c r="G1" s="239"/>
      <c r="H1" s="239"/>
      <c r="I1" s="239"/>
      <c r="J1" s="239"/>
      <c r="K1" s="239"/>
      <c r="L1" s="239"/>
      <c r="M1" s="239"/>
      <c r="N1" s="239"/>
      <c r="O1" s="239"/>
      <c r="P1" s="239"/>
      <c r="Q1" s="239"/>
      <c r="R1" s="239"/>
      <c r="S1" s="239"/>
      <c r="T1" s="239"/>
      <c r="U1" s="239"/>
      <c r="V1" s="239"/>
      <c r="W1" s="239"/>
      <c r="X1" s="239"/>
      <c r="Y1" s="239"/>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A11" zoomScaleNormal="100" workbookViewId="0">
      <selection activeCell="K18" sqref="K18"/>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9" t="s">
        <v>260</v>
      </c>
      <c r="B1" s="239"/>
      <c r="C1" s="239"/>
      <c r="D1" s="239"/>
      <c r="E1" s="239"/>
      <c r="F1" s="239"/>
      <c r="G1" s="239"/>
      <c r="H1" s="239"/>
      <c r="I1" s="239"/>
      <c r="J1" s="239"/>
      <c r="K1" s="239"/>
      <c r="L1" s="239"/>
      <c r="M1" s="239"/>
      <c r="N1" s="239"/>
      <c r="O1" s="239"/>
      <c r="P1" s="239"/>
      <c r="Q1" s="239"/>
      <c r="R1" s="239"/>
    </row>
    <row r="2" spans="1:27" ht="15" thickBot="1" x14ac:dyDescent="0.25">
      <c r="B2" s="38"/>
      <c r="C2" s="38"/>
      <c r="P2" s="1"/>
      <c r="Q2" s="40"/>
    </row>
    <row r="3" spans="1:27" ht="12.75" customHeight="1" thickBot="1" x14ac:dyDescent="0.25">
      <c r="A3" s="323" t="s">
        <v>28</v>
      </c>
      <c r="B3" s="326" t="s">
        <v>29</v>
      </c>
      <c r="C3" s="260"/>
      <c r="D3" s="298" t="s">
        <v>30</v>
      </c>
      <c r="E3" s="299"/>
      <c r="F3" s="212" t="s">
        <v>32</v>
      </c>
      <c r="G3" s="211" t="s">
        <v>32</v>
      </c>
      <c r="H3" s="211" t="s">
        <v>32</v>
      </c>
      <c r="I3" s="276" t="s">
        <v>32</v>
      </c>
      <c r="J3" s="276"/>
      <c r="K3" s="276" t="s">
        <v>33</v>
      </c>
      <c r="L3" s="276"/>
      <c r="M3" s="211" t="s">
        <v>34</v>
      </c>
      <c r="N3" s="211" t="s">
        <v>34</v>
      </c>
      <c r="O3" s="213" t="s">
        <v>34</v>
      </c>
      <c r="P3" s="1"/>
      <c r="Q3" s="40"/>
      <c r="V3" s="307" t="s">
        <v>52</v>
      </c>
      <c r="W3" s="307"/>
      <c r="X3" s="307"/>
      <c r="Y3" s="307"/>
      <c r="Z3" s="307"/>
      <c r="AA3" s="307"/>
    </row>
    <row r="4" spans="1:27" ht="14.45" customHeight="1" thickBot="1" x14ac:dyDescent="0.3">
      <c r="A4" s="324"/>
      <c r="B4" s="261" t="s">
        <v>36</v>
      </c>
      <c r="C4" s="327" t="s">
        <v>37</v>
      </c>
      <c r="D4" s="310" t="s">
        <v>36</v>
      </c>
      <c r="E4" s="312" t="s">
        <v>37</v>
      </c>
      <c r="F4" s="287" t="s">
        <v>38</v>
      </c>
      <c r="G4" s="285" t="s">
        <v>39</v>
      </c>
      <c r="H4" s="285" t="s">
        <v>40</v>
      </c>
      <c r="I4" s="277" t="s">
        <v>127</v>
      </c>
      <c r="J4" s="278"/>
      <c r="K4" s="277" t="s">
        <v>42</v>
      </c>
      <c r="L4" s="278"/>
      <c r="M4" s="289" t="s">
        <v>43</v>
      </c>
      <c r="N4" s="289" t="s">
        <v>44</v>
      </c>
      <c r="O4" s="329" t="s">
        <v>45</v>
      </c>
      <c r="P4" s="1"/>
      <c r="Q4" s="40"/>
      <c r="U4" s="1" t="s">
        <v>128</v>
      </c>
      <c r="V4" s="44" t="s">
        <v>129</v>
      </c>
      <c r="W4" s="44" t="s">
        <v>47</v>
      </c>
      <c r="X4" s="44" t="s">
        <v>49</v>
      </c>
      <c r="Y4" s="44" t="s">
        <v>130</v>
      </c>
      <c r="Z4" s="44" t="s">
        <v>131</v>
      </c>
      <c r="AA4" s="44" t="s">
        <v>132</v>
      </c>
    </row>
    <row r="5" spans="1:27" ht="26.25" customHeight="1" thickBot="1" x14ac:dyDescent="0.25">
      <c r="A5" s="325"/>
      <c r="B5" s="306"/>
      <c r="C5" s="328"/>
      <c r="D5" s="311"/>
      <c r="E5" s="313"/>
      <c r="F5" s="288"/>
      <c r="G5" s="286"/>
      <c r="H5" s="286"/>
      <c r="I5" s="45" t="s">
        <v>47</v>
      </c>
      <c r="J5" s="45" t="s">
        <v>48</v>
      </c>
      <c r="K5" s="45" t="s">
        <v>49</v>
      </c>
      <c r="L5" s="45" t="s">
        <v>50</v>
      </c>
      <c r="M5" s="290"/>
      <c r="N5" s="290"/>
      <c r="O5" s="330"/>
      <c r="P5" s="1"/>
      <c r="Q5" s="40"/>
      <c r="U5" s="1">
        <v>0</v>
      </c>
      <c r="V5" s="46">
        <f>H6</f>
        <v>17.163785198521207</v>
      </c>
      <c r="W5" s="46">
        <f>I6</f>
        <v>20.138839285714287</v>
      </c>
      <c r="X5" s="46">
        <f>K6</f>
        <v>22.152723214285718</v>
      </c>
      <c r="Y5" s="46">
        <f>M6</f>
        <v>24.367995535714293</v>
      </c>
      <c r="Z5" s="46">
        <f>N6</f>
        <v>26.804795089285726</v>
      </c>
      <c r="AA5" s="46">
        <f>O6</f>
        <v>29.4852745982143</v>
      </c>
    </row>
    <row r="6" spans="1:27" x14ac:dyDescent="0.2">
      <c r="A6" s="111" t="s">
        <v>52</v>
      </c>
      <c r="B6" s="112">
        <f>'1A'!B12</f>
        <v>13.78</v>
      </c>
      <c r="C6" s="113">
        <f>'1A'!C12</f>
        <v>28662.399999999998</v>
      </c>
      <c r="D6" s="59">
        <f>'1A'!D12</f>
        <v>20.138839285714287</v>
      </c>
      <c r="E6" s="114">
        <f>'1A'!E12</f>
        <v>41888.785714285717</v>
      </c>
      <c r="F6" s="59">
        <f>'1A'!F12</f>
        <v>17.163785198521207</v>
      </c>
      <c r="G6" s="59">
        <f>'1A'!G12</f>
        <v>17.163785198521207</v>
      </c>
      <c r="H6" s="59">
        <f>'1A'!H12</f>
        <v>17.163785198521207</v>
      </c>
      <c r="I6" s="60">
        <f>'1A'!I12</f>
        <v>20.138839285714287</v>
      </c>
      <c r="J6" s="116">
        <f>'1A'!J12</f>
        <v>21.145781250000002</v>
      </c>
      <c r="K6" s="60">
        <f>'1A'!K12</f>
        <v>22.152723214285718</v>
      </c>
      <c r="L6" s="60">
        <f>'1A'!L12</f>
        <v>23.260359375000004</v>
      </c>
      <c r="M6" s="60">
        <f>'1A'!M12</f>
        <v>24.367995535714293</v>
      </c>
      <c r="N6" s="60">
        <f>'1A'!N12</f>
        <v>26.804795089285726</v>
      </c>
      <c r="O6" s="162">
        <f>'1A'!O12</f>
        <v>29.4852745982143</v>
      </c>
      <c r="P6" s="1"/>
      <c r="U6" s="1">
        <v>1</v>
      </c>
      <c r="V6" s="46">
        <f t="shared" ref="V6:V25" si="0">V5*1.025</f>
        <v>17.592879828484236</v>
      </c>
      <c r="W6" s="46">
        <f t="shared" ref="W6:W25" si="1">W5*1.025</f>
        <v>20.642310267857141</v>
      </c>
      <c r="X6" s="46">
        <f t="shared" ref="X6:X25" si="2">X5*1.025</f>
        <v>22.706541294642857</v>
      </c>
      <c r="Y6" s="46">
        <f t="shared" ref="Y6:Y25" si="3">Y5*1.025</f>
        <v>24.977195424107148</v>
      </c>
      <c r="Z6" s="46">
        <f t="shared" ref="Z6:Z25" si="4">Z5*1.025</f>
        <v>27.474914966517865</v>
      </c>
      <c r="AA6" s="46">
        <f t="shared" ref="AA6:AA25" si="5">AA5*1.025</f>
        <v>30.222406463169655</v>
      </c>
    </row>
    <row r="7" spans="1:27" x14ac:dyDescent="0.2">
      <c r="A7" s="282" t="s">
        <v>133</v>
      </c>
      <c r="B7" s="283"/>
      <c r="C7" s="283"/>
      <c r="D7" s="283"/>
      <c r="E7" s="283"/>
      <c r="F7" s="283"/>
      <c r="G7" s="283"/>
      <c r="H7" s="284"/>
      <c r="I7" s="55">
        <f>I6-H6</f>
        <v>2.9750540871930795</v>
      </c>
      <c r="J7" s="55">
        <f t="shared" ref="J7:O7" si="6">J6-I6</f>
        <v>1.0069419642857156</v>
      </c>
      <c r="K7" s="55">
        <f t="shared" si="6"/>
        <v>1.0069419642857156</v>
      </c>
      <c r="L7" s="55">
        <f>L6-K6</f>
        <v>1.1076361607142857</v>
      </c>
      <c r="M7" s="55">
        <f>M6-L6</f>
        <v>1.1076361607142893</v>
      </c>
      <c r="N7" s="55">
        <f t="shared" si="6"/>
        <v>2.4367995535714329</v>
      </c>
      <c r="O7" s="55">
        <f t="shared" si="6"/>
        <v>2.680479508928574</v>
      </c>
      <c r="P7" s="1"/>
      <c r="U7" s="1">
        <v>2</v>
      </c>
      <c r="V7" s="46">
        <f t="shared" si="0"/>
        <v>18.032701824196341</v>
      </c>
      <c r="W7" s="46">
        <f t="shared" si="1"/>
        <v>21.158368024553567</v>
      </c>
      <c r="X7" s="46">
        <f t="shared" si="2"/>
        <v>23.274204827008926</v>
      </c>
      <c r="Y7" s="46">
        <f t="shared" si="3"/>
        <v>25.601625309709824</v>
      </c>
      <c r="Z7" s="46">
        <f t="shared" si="4"/>
        <v>28.161787840680809</v>
      </c>
      <c r="AA7" s="46">
        <f t="shared" si="5"/>
        <v>30.977966624748895</v>
      </c>
    </row>
    <row r="8" spans="1:27" x14ac:dyDescent="0.2">
      <c r="A8" s="56" t="s">
        <v>62</v>
      </c>
      <c r="B8" s="59">
        <f>'1A'!B20</f>
        <v>13.78</v>
      </c>
      <c r="C8" s="114">
        <f>'1A'!C20</f>
        <v>28662.399999999998</v>
      </c>
      <c r="D8" s="59">
        <f>'1A'!D20</f>
        <v>18.308035714285715</v>
      </c>
      <c r="E8" s="114">
        <f>'1A'!E20</f>
        <v>38080.71428571429</v>
      </c>
      <c r="F8" s="59">
        <f>'1A'!F20</f>
        <v>15.603441089564733</v>
      </c>
      <c r="G8" s="60">
        <f>'1A'!G20</f>
        <v>15.603441089564733</v>
      </c>
      <c r="H8" s="60">
        <f>'1A'!H20</f>
        <v>15.603441089564733</v>
      </c>
      <c r="I8" s="61">
        <f>'1A'!I20</f>
        <v>18.308035714285715</v>
      </c>
      <c r="J8" s="61">
        <f>'1A'!J20</f>
        <v>19.223437500000003</v>
      </c>
      <c r="K8" s="61">
        <f>'1A'!K20</f>
        <v>20.138839285714287</v>
      </c>
      <c r="L8" s="61">
        <f>'1A'!L20</f>
        <v>21.145781250000002</v>
      </c>
      <c r="M8" s="61">
        <f>'1A'!M20</f>
        <v>22.152723214285718</v>
      </c>
      <c r="N8" s="61">
        <f>'1A'!N20</f>
        <v>24.367995535714293</v>
      </c>
      <c r="O8" s="62">
        <f>'1A'!O20</f>
        <v>26.804795089285726</v>
      </c>
      <c r="P8" s="46"/>
      <c r="U8" s="1">
        <v>3</v>
      </c>
      <c r="V8" s="46">
        <f t="shared" si="0"/>
        <v>18.483519369801247</v>
      </c>
      <c r="W8" s="46">
        <f t="shared" si="1"/>
        <v>21.687327225167405</v>
      </c>
      <c r="X8" s="46">
        <f t="shared" si="2"/>
        <v>23.856059947684148</v>
      </c>
      <c r="Y8" s="46">
        <f t="shared" si="3"/>
        <v>26.241665942452567</v>
      </c>
      <c r="Z8" s="46">
        <f t="shared" si="4"/>
        <v>28.865832536697827</v>
      </c>
      <c r="AA8" s="46">
        <f t="shared" si="5"/>
        <v>31.752415790367614</v>
      </c>
    </row>
    <row r="9" spans="1:27" x14ac:dyDescent="0.2">
      <c r="A9" s="282" t="s">
        <v>133</v>
      </c>
      <c r="B9" s="283"/>
      <c r="C9" s="283"/>
      <c r="D9" s="283"/>
      <c r="E9" s="283"/>
      <c r="F9" s="283"/>
      <c r="G9" s="283"/>
      <c r="H9" s="284"/>
      <c r="I9" s="55">
        <f>I8-H8</f>
        <v>2.7045946247209827</v>
      </c>
      <c r="J9" s="55">
        <f t="shared" ref="J9:N9" si="7">J8-I8</f>
        <v>0.91540178571428754</v>
      </c>
      <c r="K9" s="55">
        <f t="shared" si="7"/>
        <v>0.91540178571428399</v>
      </c>
      <c r="L9" s="55">
        <f t="shared" si="7"/>
        <v>1.0069419642857156</v>
      </c>
      <c r="M9" s="55">
        <f t="shared" si="7"/>
        <v>1.0069419642857156</v>
      </c>
      <c r="N9" s="55">
        <f t="shared" si="7"/>
        <v>2.215272321428575</v>
      </c>
      <c r="O9" s="55">
        <f>O8-N8</f>
        <v>2.4367995535714329</v>
      </c>
      <c r="P9" s="1"/>
      <c r="U9" s="1">
        <v>4</v>
      </c>
      <c r="V9" s="46">
        <f t="shared" si="0"/>
        <v>18.945607354046277</v>
      </c>
      <c r="W9" s="46">
        <f t="shared" si="1"/>
        <v>22.229510405796589</v>
      </c>
      <c r="X9" s="46">
        <f t="shared" si="2"/>
        <v>24.452461446376251</v>
      </c>
      <c r="Y9" s="46">
        <f t="shared" si="3"/>
        <v>26.89770759101388</v>
      </c>
      <c r="Z9" s="46">
        <f t="shared" si="4"/>
        <v>29.587478350115269</v>
      </c>
      <c r="AA9" s="46">
        <f t="shared" si="5"/>
        <v>32.546226185126798</v>
      </c>
    </row>
    <row r="10" spans="1:27" x14ac:dyDescent="0.2">
      <c r="P10" s="1"/>
      <c r="Q10" s="40"/>
      <c r="U10" s="1">
        <v>5</v>
      </c>
      <c r="V10" s="46">
        <f t="shared" si="0"/>
        <v>19.419247537897434</v>
      </c>
      <c r="W10" s="46">
        <f t="shared" si="1"/>
        <v>22.7852481659415</v>
      </c>
      <c r="X10" s="46">
        <f t="shared" si="2"/>
        <v>25.063772982535657</v>
      </c>
      <c r="Y10" s="46">
        <f t="shared" si="3"/>
        <v>27.570150280789225</v>
      </c>
      <c r="Z10" s="46">
        <f t="shared" si="4"/>
        <v>30.32716530886815</v>
      </c>
      <c r="AA10" s="46">
        <f t="shared" si="5"/>
        <v>33.359881839754962</v>
      </c>
    </row>
    <row r="11" spans="1:27" x14ac:dyDescent="0.2">
      <c r="P11" s="1"/>
      <c r="Q11" s="40"/>
      <c r="U11" s="1">
        <v>6</v>
      </c>
      <c r="V11" s="46">
        <f t="shared" si="0"/>
        <v>19.904728726344867</v>
      </c>
      <c r="W11" s="46">
        <f t="shared" si="1"/>
        <v>23.354879370090035</v>
      </c>
      <c r="X11" s="46">
        <f t="shared" si="2"/>
        <v>25.690367307099045</v>
      </c>
      <c r="Y11" s="46">
        <f t="shared" si="3"/>
        <v>28.259404037808952</v>
      </c>
      <c r="Z11" s="46">
        <f t="shared" si="4"/>
        <v>31.08534444158985</v>
      </c>
      <c r="AA11" s="46">
        <f t="shared" si="5"/>
        <v>34.19387888574883</v>
      </c>
    </row>
    <row r="12" spans="1:27" x14ac:dyDescent="0.2">
      <c r="P12" s="1"/>
      <c r="Q12" s="40"/>
      <c r="U12" s="1">
        <v>7</v>
      </c>
      <c r="V12" s="46">
        <f t="shared" si="0"/>
        <v>20.402346944503488</v>
      </c>
      <c r="W12" s="46">
        <f t="shared" si="1"/>
        <v>23.938751354342283</v>
      </c>
      <c r="X12" s="46">
        <f t="shared" si="2"/>
        <v>26.332626489776519</v>
      </c>
      <c r="Y12" s="46">
        <f t="shared" si="3"/>
        <v>28.965889138754175</v>
      </c>
      <c r="Z12" s="46">
        <f t="shared" si="4"/>
        <v>31.862478052629594</v>
      </c>
      <c r="AA12" s="46">
        <f t="shared" si="5"/>
        <v>35.048725857892549</v>
      </c>
    </row>
    <row r="13" spans="1:27" x14ac:dyDescent="0.2">
      <c r="U13" s="1">
        <v>8</v>
      </c>
      <c r="V13" s="46">
        <f t="shared" si="0"/>
        <v>20.912405618116075</v>
      </c>
      <c r="W13" s="46">
        <f t="shared" si="1"/>
        <v>24.537220138200837</v>
      </c>
      <c r="X13" s="46">
        <f t="shared" si="2"/>
        <v>26.990942152020931</v>
      </c>
      <c r="Y13" s="46">
        <f t="shared" si="3"/>
        <v>29.690036367223026</v>
      </c>
      <c r="Z13" s="46">
        <f t="shared" si="4"/>
        <v>32.659040003945329</v>
      </c>
      <c r="AA13" s="46">
        <f t="shared" si="5"/>
        <v>35.924944004339856</v>
      </c>
    </row>
    <row r="14" spans="1:27" ht="16.5" thickBot="1" x14ac:dyDescent="0.3">
      <c r="A14" s="28" t="s">
        <v>261</v>
      </c>
      <c r="B14" s="28"/>
      <c r="C14" s="28"/>
      <c r="D14" s="28"/>
      <c r="E14" s="28"/>
      <c r="F14" s="28"/>
      <c r="G14" s="28"/>
      <c r="H14" s="28"/>
      <c r="I14" s="28"/>
      <c r="J14" s="28"/>
      <c r="K14" s="28"/>
      <c r="L14" s="28"/>
      <c r="M14" s="28"/>
      <c r="N14" s="28"/>
      <c r="O14" s="28"/>
      <c r="P14" s="28"/>
      <c r="Q14" s="28"/>
      <c r="R14" s="28"/>
      <c r="S14" s="28"/>
      <c r="T14" s="28"/>
      <c r="U14" s="1">
        <v>9</v>
      </c>
      <c r="V14" s="46">
        <f t="shared" si="0"/>
        <v>21.435215758568976</v>
      </c>
      <c r="W14" s="46">
        <f t="shared" si="1"/>
        <v>25.150650641655854</v>
      </c>
      <c r="X14" s="46">
        <f t="shared" si="2"/>
        <v>27.665715705821452</v>
      </c>
      <c r="Y14" s="46">
        <f t="shared" si="3"/>
        <v>30.432287276403599</v>
      </c>
      <c r="Z14" s="46">
        <f t="shared" si="4"/>
        <v>33.475516004043961</v>
      </c>
      <c r="AA14" s="46">
        <f t="shared" si="5"/>
        <v>36.823067604448347</v>
      </c>
    </row>
    <row r="15" spans="1:27" ht="15.75" thickBot="1" x14ac:dyDescent="0.3">
      <c r="A15" s="295" t="s">
        <v>135</v>
      </c>
      <c r="B15" s="300" t="s">
        <v>32</v>
      </c>
      <c r="C15" s="279"/>
      <c r="D15" s="279"/>
      <c r="E15" s="279" t="s">
        <v>32</v>
      </c>
      <c r="F15" s="279"/>
      <c r="G15" s="279"/>
      <c r="H15" s="279" t="s">
        <v>33</v>
      </c>
      <c r="I15" s="279"/>
      <c r="J15" s="279"/>
      <c r="K15" s="279" t="s">
        <v>34</v>
      </c>
      <c r="L15" s="279"/>
      <c r="M15" s="279"/>
      <c r="N15" s="279" t="s">
        <v>34</v>
      </c>
      <c r="O15" s="279"/>
      <c r="P15" s="294"/>
      <c r="Q15" s="279" t="s">
        <v>34</v>
      </c>
      <c r="R15" s="279"/>
      <c r="S15" s="294"/>
      <c r="T15" s="63"/>
      <c r="U15" s="1">
        <v>10</v>
      </c>
      <c r="V15" s="46">
        <f t="shared" si="0"/>
        <v>21.9710961525332</v>
      </c>
      <c r="W15" s="46">
        <f t="shared" si="1"/>
        <v>25.77941690769725</v>
      </c>
      <c r="X15" s="46">
        <f t="shared" si="2"/>
        <v>28.357358598466984</v>
      </c>
      <c r="Y15" s="46">
        <f t="shared" si="3"/>
        <v>31.193094458313688</v>
      </c>
      <c r="Z15" s="46">
        <f t="shared" si="4"/>
        <v>34.312403904145057</v>
      </c>
      <c r="AA15" s="46">
        <f t="shared" si="5"/>
        <v>37.743644294559552</v>
      </c>
    </row>
    <row r="16" spans="1:27" ht="15" x14ac:dyDescent="0.2">
      <c r="A16" s="296"/>
      <c r="B16" s="301" t="s">
        <v>136</v>
      </c>
      <c r="C16" s="302"/>
      <c r="D16" s="302"/>
      <c r="E16" s="273" t="s">
        <v>127</v>
      </c>
      <c r="F16" s="274"/>
      <c r="G16" s="275"/>
      <c r="H16" s="273" t="s">
        <v>42</v>
      </c>
      <c r="I16" s="274"/>
      <c r="J16" s="275"/>
      <c r="K16" s="291" t="s">
        <v>137</v>
      </c>
      <c r="L16" s="292"/>
      <c r="M16" s="293"/>
      <c r="N16" s="291" t="s">
        <v>44</v>
      </c>
      <c r="O16" s="292"/>
      <c r="P16" s="293"/>
      <c r="Q16" s="291" t="s">
        <v>138</v>
      </c>
      <c r="R16" s="292"/>
      <c r="S16" s="293"/>
      <c r="T16" s="64"/>
      <c r="U16" s="1">
        <v>11</v>
      </c>
      <c r="V16" s="46">
        <f t="shared" si="0"/>
        <v>22.520373556346527</v>
      </c>
      <c r="W16" s="46">
        <f t="shared" si="1"/>
        <v>26.42390233038968</v>
      </c>
      <c r="X16" s="46">
        <f t="shared" si="2"/>
        <v>29.066292563428657</v>
      </c>
      <c r="Y16" s="46">
        <f t="shared" si="3"/>
        <v>31.972921819771528</v>
      </c>
      <c r="Z16" s="46">
        <f t="shared" si="4"/>
        <v>35.170214001748683</v>
      </c>
      <c r="AA16" s="46">
        <f t="shared" si="5"/>
        <v>38.687235401923537</v>
      </c>
    </row>
    <row r="17" spans="1:27" ht="15" thickBot="1" x14ac:dyDescent="0.25">
      <c r="A17" s="297"/>
      <c r="B17" s="65" t="s">
        <v>139</v>
      </c>
      <c r="C17" s="66" t="s">
        <v>140</v>
      </c>
      <c r="D17" s="66" t="s">
        <v>141</v>
      </c>
      <c r="E17" s="67" t="s">
        <v>139</v>
      </c>
      <c r="F17" s="68" t="s">
        <v>140</v>
      </c>
      <c r="G17" s="69" t="s">
        <v>141</v>
      </c>
      <c r="H17" s="66" t="s">
        <v>139</v>
      </c>
      <c r="I17" s="66" t="s">
        <v>140</v>
      </c>
      <c r="J17" s="70" t="s">
        <v>141</v>
      </c>
      <c r="K17" s="65" t="s">
        <v>139</v>
      </c>
      <c r="L17" s="66" t="s">
        <v>140</v>
      </c>
      <c r="M17" s="70" t="s">
        <v>141</v>
      </c>
      <c r="N17" s="65" t="s">
        <v>139</v>
      </c>
      <c r="O17" s="66" t="s">
        <v>140</v>
      </c>
      <c r="P17" s="70" t="s">
        <v>141</v>
      </c>
      <c r="Q17" s="65" t="s">
        <v>139</v>
      </c>
      <c r="R17" s="66" t="s">
        <v>140</v>
      </c>
      <c r="S17" s="70" t="s">
        <v>141</v>
      </c>
      <c r="T17" s="71"/>
      <c r="U17" s="1">
        <v>12</v>
      </c>
      <c r="V17" s="46">
        <f t="shared" si="0"/>
        <v>23.083382895255188</v>
      </c>
      <c r="W17" s="46">
        <f t="shared" si="1"/>
        <v>27.084499888649418</v>
      </c>
      <c r="X17" s="46">
        <f t="shared" si="2"/>
        <v>29.792949877514371</v>
      </c>
      <c r="Y17" s="46">
        <f t="shared" si="3"/>
        <v>32.772244865265812</v>
      </c>
      <c r="Z17" s="46">
        <f t="shared" si="4"/>
        <v>36.049469351792396</v>
      </c>
      <c r="AA17" s="46">
        <f t="shared" si="5"/>
        <v>39.654416286971625</v>
      </c>
    </row>
    <row r="18" spans="1:27" x14ac:dyDescent="0.2">
      <c r="A18" s="72" t="s">
        <v>142</v>
      </c>
      <c r="B18" s="73">
        <f>H6</f>
        <v>17.163785198521207</v>
      </c>
      <c r="C18" s="73">
        <f>MEDIAN(B18,D18)</f>
        <v>17.823652284161227</v>
      </c>
      <c r="D18" s="73">
        <f>B18*((1.025)^3)</f>
        <v>18.48351936980125</v>
      </c>
      <c r="E18" s="74">
        <f>I6</f>
        <v>20.138839285714287</v>
      </c>
      <c r="F18" s="73">
        <f>MEDIAN(E18,G18)</f>
        <v>20.913083255440846</v>
      </c>
      <c r="G18" s="75">
        <f>E18*((1.025)^3)</f>
        <v>21.687327225167408</v>
      </c>
      <c r="H18" s="73">
        <f>K6</f>
        <v>22.152723214285718</v>
      </c>
      <c r="I18" s="73">
        <f>MEDIAN(H18,J18)</f>
        <v>23.004391580984937</v>
      </c>
      <c r="J18" s="75">
        <f>H18*((1.025)^3)</f>
        <v>23.856059947684152</v>
      </c>
      <c r="K18" s="74">
        <f>M6</f>
        <v>24.367995535714293</v>
      </c>
      <c r="L18" s="73">
        <f>MEDIAN(K18,M18)</f>
        <v>25.304830739083432</v>
      </c>
      <c r="M18" s="75">
        <f>K18*((1.025)^3)</f>
        <v>26.24166594245257</v>
      </c>
      <c r="N18" s="74">
        <f>N6</f>
        <v>26.804795089285726</v>
      </c>
      <c r="O18" s="73">
        <f>MEDIAN(N18,P18)</f>
        <v>27.835313812991778</v>
      </c>
      <c r="P18" s="75">
        <f>N18*((1.025)^3)</f>
        <v>28.865832536697834</v>
      </c>
      <c r="Q18" s="74">
        <f>O6</f>
        <v>29.4852745982143</v>
      </c>
      <c r="R18" s="73">
        <f>MEDIAN(Q18,S18)</f>
        <v>30.618845194290959</v>
      </c>
      <c r="S18" s="75">
        <f>Q18*((1.025)^3)</f>
        <v>31.752415790367618</v>
      </c>
      <c r="T18" s="73"/>
      <c r="U18" s="1">
        <v>13</v>
      </c>
      <c r="V18" s="46">
        <f t="shared" si="0"/>
        <v>23.660467467636565</v>
      </c>
      <c r="W18" s="46">
        <f t="shared" si="1"/>
        <v>27.76161238586565</v>
      </c>
      <c r="X18" s="46">
        <f t="shared" si="2"/>
        <v>30.537773624452228</v>
      </c>
      <c r="Y18" s="46">
        <f t="shared" si="3"/>
        <v>33.591550986897452</v>
      </c>
      <c r="Z18" s="46">
        <f t="shared" si="4"/>
        <v>36.9507060855872</v>
      </c>
      <c r="AA18" s="46">
        <f t="shared" si="5"/>
        <v>40.645776694145908</v>
      </c>
    </row>
    <row r="19" spans="1:27" x14ac:dyDescent="0.2">
      <c r="A19" s="76" t="s">
        <v>143</v>
      </c>
      <c r="B19" s="73">
        <f>B18*((1.025)^4)</f>
        <v>18.945607354046281</v>
      </c>
      <c r="C19" s="73">
        <f t="shared" ref="C19:C23" si="8">MEDIAN(B19,D19)</f>
        <v>19.425168040195572</v>
      </c>
      <c r="D19" s="73">
        <f>B18*((1.025)^6)</f>
        <v>19.904728726344867</v>
      </c>
      <c r="E19" s="74">
        <f>E18*((1.025)^4)</f>
        <v>22.229510405796592</v>
      </c>
      <c r="F19" s="73">
        <f t="shared" ref="F19:F23" si="9">MEDIAN(E19,G19)</f>
        <v>22.792194887943317</v>
      </c>
      <c r="G19" s="75">
        <f>E18*((1.025)^6)</f>
        <v>23.354879370090043</v>
      </c>
      <c r="H19" s="73">
        <f>H18*((1.025)^4)</f>
        <v>24.452461446376255</v>
      </c>
      <c r="I19" s="73">
        <f t="shared" ref="I19:I23" si="10">MEDIAN(H19,J19)</f>
        <v>25.07141437673765</v>
      </c>
      <c r="J19" s="75">
        <f>H18*((1.025)^6)</f>
        <v>25.690367307099049</v>
      </c>
      <c r="K19" s="74">
        <f>K18*((1.025)^4)</f>
        <v>26.897707591013884</v>
      </c>
      <c r="L19" s="73">
        <f t="shared" ref="L19:L23" si="11">MEDIAN(K19,M19)</f>
        <v>27.57855581441142</v>
      </c>
      <c r="M19" s="75">
        <f>K18*((1.025)^6)</f>
        <v>28.259404037808956</v>
      </c>
      <c r="N19" s="74">
        <f>N18*((1.025)^4)</f>
        <v>29.587478350115276</v>
      </c>
      <c r="O19" s="73">
        <f t="shared" ref="O19:O23" si="12">MEDIAN(N19,P19)</f>
        <v>30.336411395852565</v>
      </c>
      <c r="P19" s="75">
        <f>N18*((1.025)^6)</f>
        <v>31.085344441589857</v>
      </c>
      <c r="Q19" s="74">
        <f>Q18*((1.025)^4)</f>
        <v>32.546226185126805</v>
      </c>
      <c r="R19" s="73">
        <f t="shared" ref="R19:R23" si="13">MEDIAN(Q19,S19)</f>
        <v>33.370052535437821</v>
      </c>
      <c r="S19" s="75">
        <f>Q18*((1.025)^6)</f>
        <v>34.193878885748845</v>
      </c>
      <c r="T19" s="73"/>
      <c r="U19" s="1">
        <v>14</v>
      </c>
      <c r="V19" s="46">
        <f t="shared" si="0"/>
        <v>24.251979154327476</v>
      </c>
      <c r="W19" s="46">
        <f t="shared" si="1"/>
        <v>28.455652695512288</v>
      </c>
      <c r="X19" s="46">
        <f t="shared" si="2"/>
        <v>31.301217965063532</v>
      </c>
      <c r="Y19" s="46">
        <f t="shared" si="3"/>
        <v>34.431339761569888</v>
      </c>
      <c r="Z19" s="46">
        <f t="shared" si="4"/>
        <v>37.874473737726873</v>
      </c>
      <c r="AA19" s="46">
        <f t="shared" si="5"/>
        <v>41.661921111499552</v>
      </c>
    </row>
    <row r="20" spans="1:27" x14ac:dyDescent="0.2">
      <c r="A20" s="76" t="s">
        <v>144</v>
      </c>
      <c r="B20" s="73">
        <f>B18*((1.025)^7)</f>
        <v>20.402346944503492</v>
      </c>
      <c r="C20" s="73">
        <f t="shared" si="8"/>
        <v>20.918781351536232</v>
      </c>
      <c r="D20" s="73">
        <f>B18*((1.025)^9)</f>
        <v>21.435215758568976</v>
      </c>
      <c r="E20" s="74">
        <f>E18*((1.025)^7)</f>
        <v>23.938751354342294</v>
      </c>
      <c r="F20" s="73">
        <f t="shared" si="9"/>
        <v>24.54470099799908</v>
      </c>
      <c r="G20" s="75">
        <f>E18*((1.025)^9)</f>
        <v>25.150650641655865</v>
      </c>
      <c r="H20" s="73">
        <f>H18*((1.025)^7)</f>
        <v>26.332626489776526</v>
      </c>
      <c r="I20" s="73">
        <f t="shared" si="10"/>
        <v>26.999171097798992</v>
      </c>
      <c r="J20" s="75">
        <f>H18*((1.025)^9)</f>
        <v>27.665715705821455</v>
      </c>
      <c r="K20" s="74">
        <f>K18*((1.025)^7)</f>
        <v>28.965889138754182</v>
      </c>
      <c r="L20" s="73">
        <f t="shared" si="11"/>
        <v>29.699088207578896</v>
      </c>
      <c r="M20" s="75">
        <f>K18*((1.025)^9)</f>
        <v>30.432287276403606</v>
      </c>
      <c r="N20" s="74">
        <f>N18*((1.025)^7)</f>
        <v>31.862478052629605</v>
      </c>
      <c r="O20" s="73">
        <f t="shared" si="12"/>
        <v>32.66899702833679</v>
      </c>
      <c r="P20" s="75">
        <f>N18*((1.025)^9)</f>
        <v>33.475516004043968</v>
      </c>
      <c r="Q20" s="74">
        <f>Q18*((1.025)^7)</f>
        <v>35.048725857892563</v>
      </c>
      <c r="R20" s="73">
        <f t="shared" si="13"/>
        <v>35.935896731170466</v>
      </c>
      <c r="S20" s="75">
        <f>Q18*((1.025)^9)</f>
        <v>36.823067604448369</v>
      </c>
      <c r="T20" s="73"/>
      <c r="U20" s="1">
        <v>15</v>
      </c>
      <c r="V20" s="46">
        <f t="shared" si="0"/>
        <v>24.858278633185659</v>
      </c>
      <c r="W20" s="46">
        <f t="shared" si="1"/>
        <v>29.167044012900092</v>
      </c>
      <c r="X20" s="46">
        <f t="shared" si="2"/>
        <v>32.083748414190119</v>
      </c>
      <c r="Y20" s="46">
        <f t="shared" si="3"/>
        <v>35.292123255609134</v>
      </c>
      <c r="Z20" s="46">
        <f t="shared" si="4"/>
        <v>38.82133558117004</v>
      </c>
      <c r="AA20" s="46">
        <f t="shared" si="5"/>
        <v>42.703469139287037</v>
      </c>
    </row>
    <row r="21" spans="1:27" x14ac:dyDescent="0.2">
      <c r="A21" s="76" t="s">
        <v>145</v>
      </c>
      <c r="B21" s="73">
        <f>B18*((1.025)^10)</f>
        <v>21.9710961525332</v>
      </c>
      <c r="C21" s="73">
        <f t="shared" si="8"/>
        <v>22.527239523894195</v>
      </c>
      <c r="D21" s="73">
        <f>B18*((1.025)^12)</f>
        <v>23.083382895255191</v>
      </c>
      <c r="E21" s="74">
        <f>E18*((1.025)^10)</f>
        <v>25.779416907697261</v>
      </c>
      <c r="F21" s="73">
        <f t="shared" si="9"/>
        <v>26.431958398173347</v>
      </c>
      <c r="G21" s="75">
        <f>E18*((1.025)^12)</f>
        <v>27.084499888649432</v>
      </c>
      <c r="H21" s="73">
        <f>H18*((1.025)^10)</f>
        <v>28.357358598466991</v>
      </c>
      <c r="I21" s="73">
        <f t="shared" si="10"/>
        <v>29.075154237990688</v>
      </c>
      <c r="J21" s="75">
        <f>H18*((1.025)^12)</f>
        <v>29.792949877514381</v>
      </c>
      <c r="K21" s="74">
        <f>K18*((1.025)^10)</f>
        <v>31.193094458313695</v>
      </c>
      <c r="L21" s="73">
        <f t="shared" si="11"/>
        <v>31.98266966178976</v>
      </c>
      <c r="M21" s="75">
        <f>K18*((1.025)^12)</f>
        <v>32.772244865265826</v>
      </c>
      <c r="N21" s="74">
        <f>N18*((1.025)^10)</f>
        <v>34.312403904145071</v>
      </c>
      <c r="O21" s="73">
        <f t="shared" si="12"/>
        <v>35.180936627968741</v>
      </c>
      <c r="P21" s="75">
        <f>N18*((1.025)^12)</f>
        <v>36.049469351792411</v>
      </c>
      <c r="Q21" s="74">
        <f>Q18*((1.025)^10)</f>
        <v>37.74364429455958</v>
      </c>
      <c r="R21" s="73">
        <f t="shared" si="13"/>
        <v>38.69903029076562</v>
      </c>
      <c r="S21" s="75">
        <f>Q18*((1.025)^12)</f>
        <v>39.654416286971653</v>
      </c>
      <c r="T21" s="73"/>
      <c r="U21" s="1">
        <v>16</v>
      </c>
      <c r="V21" s="46">
        <f t="shared" si="0"/>
        <v>25.479735599015299</v>
      </c>
      <c r="W21" s="46">
        <f t="shared" si="1"/>
        <v>29.896220113222594</v>
      </c>
      <c r="X21" s="46">
        <f t="shared" si="2"/>
        <v>32.885842124544865</v>
      </c>
      <c r="Y21" s="46">
        <f t="shared" si="3"/>
        <v>36.17442633699936</v>
      </c>
      <c r="Z21" s="46">
        <f t="shared" si="4"/>
        <v>39.791868970699284</v>
      </c>
      <c r="AA21" s="46">
        <f t="shared" si="5"/>
        <v>43.771055867769206</v>
      </c>
    </row>
    <row r="22" spans="1:27" x14ac:dyDescent="0.2">
      <c r="A22" s="76" t="s">
        <v>146</v>
      </c>
      <c r="B22" s="73">
        <f>B18*((1.025)^13)</f>
        <v>23.660467467636568</v>
      </c>
      <c r="C22" s="73">
        <f t="shared" si="8"/>
        <v>24.259373050411121</v>
      </c>
      <c r="D22" s="73">
        <f>B18*((1.025)^15)</f>
        <v>24.858278633185673</v>
      </c>
      <c r="E22" s="74">
        <f>E18*((1.025)^13)</f>
        <v>27.761612385865668</v>
      </c>
      <c r="F22" s="73">
        <f t="shared" si="9"/>
        <v>28.464328199382891</v>
      </c>
      <c r="G22" s="75">
        <f>E18*((1.025)^15)</f>
        <v>29.167044012900117</v>
      </c>
      <c r="H22" s="73">
        <f>H18*((1.025)^13)</f>
        <v>30.537773624452239</v>
      </c>
      <c r="I22" s="73">
        <f t="shared" si="10"/>
        <v>31.310761019321184</v>
      </c>
      <c r="J22" s="75">
        <f>H18*((1.025)^15)</f>
        <v>32.083748414190133</v>
      </c>
      <c r="K22" s="74">
        <f>K18*((1.025)^13)</f>
        <v>33.591550986897467</v>
      </c>
      <c r="L22" s="73">
        <f t="shared" si="11"/>
        <v>34.441837121253315</v>
      </c>
      <c r="M22" s="75">
        <f>K18*((1.025)^15)</f>
        <v>35.292123255609155</v>
      </c>
      <c r="N22" s="74">
        <f>N18*((1.025)^13)</f>
        <v>36.950706085587221</v>
      </c>
      <c r="O22" s="73">
        <f t="shared" si="12"/>
        <v>37.886020833378652</v>
      </c>
      <c r="P22" s="75">
        <f>N18*((1.025)^15)</f>
        <v>38.821335581170075</v>
      </c>
      <c r="Q22" s="74">
        <f>Q18*((1.025)^13)</f>
        <v>40.645776694145944</v>
      </c>
      <c r="R22" s="73">
        <f t="shared" si="13"/>
        <v>41.674622916716515</v>
      </c>
      <c r="S22" s="75">
        <f>Q18*((1.025)^15)</f>
        <v>42.70346913928708</v>
      </c>
      <c r="T22" s="73"/>
      <c r="U22" s="1">
        <v>17</v>
      </c>
      <c r="V22" s="46">
        <f t="shared" si="0"/>
        <v>26.11672898899068</v>
      </c>
      <c r="W22" s="46">
        <f t="shared" si="1"/>
        <v>30.643625616053157</v>
      </c>
      <c r="X22" s="46">
        <f t="shared" si="2"/>
        <v>33.707988177658486</v>
      </c>
      <c r="Y22" s="46">
        <f t="shared" si="3"/>
        <v>37.078786995424338</v>
      </c>
      <c r="Z22" s="46">
        <f t="shared" si="4"/>
        <v>40.786665694966764</v>
      </c>
      <c r="AA22" s="46">
        <f t="shared" si="5"/>
        <v>44.865332264463433</v>
      </c>
    </row>
    <row r="23" spans="1:27" x14ac:dyDescent="0.2">
      <c r="A23" s="76" t="s">
        <v>147</v>
      </c>
      <c r="B23" s="73">
        <f>B18*((1.025)^16)</f>
        <v>25.47973559901531</v>
      </c>
      <c r="C23" s="73">
        <f t="shared" si="8"/>
        <v>26.802298101462554</v>
      </c>
      <c r="D23" s="73">
        <f>B18*((1.025)^20)</f>
        <v>28.124860603909802</v>
      </c>
      <c r="E23" s="74">
        <f>E18*((1.025)^16)</f>
        <v>29.896220113222618</v>
      </c>
      <c r="F23" s="73">
        <f t="shared" si="9"/>
        <v>31.448026627580067</v>
      </c>
      <c r="G23" s="75">
        <f>E18*((1.025)^20)</f>
        <v>32.999833141937515</v>
      </c>
      <c r="H23" s="74">
        <f>H18*((1.025)^16)</f>
        <v>32.885842124544887</v>
      </c>
      <c r="I23" s="73">
        <f t="shared" si="10"/>
        <v>34.592829290338081</v>
      </c>
      <c r="J23" s="75">
        <f>H18*((1.025)^20)</f>
        <v>36.299816456131275</v>
      </c>
      <c r="K23" s="73">
        <f>K18*((1.025)^16)</f>
        <v>36.174426336999375</v>
      </c>
      <c r="L23" s="73">
        <f t="shared" si="11"/>
        <v>38.052112219371892</v>
      </c>
      <c r="M23" s="75">
        <f>K18*((1.025)^20)</f>
        <v>39.929798101744403</v>
      </c>
      <c r="N23" s="73">
        <f>N18*((1.025)^16)</f>
        <v>39.791868970699319</v>
      </c>
      <c r="O23" s="73">
        <f t="shared" si="12"/>
        <v>41.857323441309084</v>
      </c>
      <c r="P23" s="73">
        <f>N18*((1.025)^20)</f>
        <v>43.92277791191885</v>
      </c>
      <c r="Q23" s="74">
        <f>Q18*((1.025)^16)</f>
        <v>43.771055867769256</v>
      </c>
      <c r="R23" s="73">
        <f t="shared" si="13"/>
        <v>46.043055785439996</v>
      </c>
      <c r="S23" s="75">
        <f>Q18*((1.025)^20)</f>
        <v>48.315055703110737</v>
      </c>
      <c r="T23" s="73"/>
      <c r="U23" s="1">
        <v>18</v>
      </c>
      <c r="V23" s="46">
        <f t="shared" si="0"/>
        <v>26.769647213715444</v>
      </c>
      <c r="W23" s="46">
        <f t="shared" si="1"/>
        <v>31.409716256454484</v>
      </c>
      <c r="X23" s="46">
        <f t="shared" si="2"/>
        <v>34.550687882099943</v>
      </c>
      <c r="Y23" s="46">
        <f t="shared" si="3"/>
        <v>38.005756670309943</v>
      </c>
      <c r="Z23" s="46">
        <f t="shared" si="4"/>
        <v>41.806332337340933</v>
      </c>
      <c r="AA23" s="46">
        <f t="shared" si="5"/>
        <v>45.986965571075018</v>
      </c>
    </row>
    <row r="24" spans="1:27" ht="15" x14ac:dyDescent="0.25">
      <c r="A24" s="44"/>
      <c r="B24" s="36"/>
      <c r="C24" s="46"/>
      <c r="D24" s="36"/>
      <c r="E24" s="81"/>
      <c r="F24" s="81"/>
      <c r="G24" s="81"/>
      <c r="H24" s="81"/>
      <c r="I24" s="73"/>
      <c r="J24" s="73"/>
      <c r="M24" s="40"/>
      <c r="P24" s="1"/>
      <c r="U24" s="1">
        <v>19</v>
      </c>
      <c r="V24" s="46">
        <f t="shared" si="0"/>
        <v>27.438888394058328</v>
      </c>
      <c r="W24" s="46">
        <f t="shared" si="1"/>
        <v>32.194959162865842</v>
      </c>
      <c r="X24" s="46">
        <f t="shared" si="2"/>
        <v>35.41445507915244</v>
      </c>
      <c r="Y24" s="46">
        <f t="shared" si="3"/>
        <v>38.955900587067688</v>
      </c>
      <c r="Z24" s="46">
        <f t="shared" si="4"/>
        <v>42.851490645774454</v>
      </c>
      <c r="AA24" s="46">
        <f t="shared" si="5"/>
        <v>47.136639710351886</v>
      </c>
    </row>
    <row r="25" spans="1:27" ht="15" x14ac:dyDescent="0.25">
      <c r="A25" s="44"/>
      <c r="B25" s="36"/>
      <c r="C25" s="46"/>
      <c r="D25" s="36"/>
      <c r="E25" s="81"/>
      <c r="F25" s="81"/>
      <c r="G25" s="81"/>
      <c r="H25" s="81"/>
      <c r="I25" s="73"/>
      <c r="J25" s="73"/>
      <c r="M25" s="40"/>
      <c r="P25" s="1"/>
      <c r="U25" s="1">
        <v>20</v>
      </c>
      <c r="V25" s="46">
        <f t="shared" si="0"/>
        <v>28.124860603909784</v>
      </c>
      <c r="W25" s="46">
        <f t="shared" si="1"/>
        <v>32.999833141937486</v>
      </c>
      <c r="X25" s="46">
        <f t="shared" si="2"/>
        <v>36.299816456131246</v>
      </c>
      <c r="Y25" s="46">
        <f t="shared" si="3"/>
        <v>39.929798101744375</v>
      </c>
      <c r="Z25" s="46">
        <f t="shared" si="4"/>
        <v>43.922777911918814</v>
      </c>
      <c r="AA25" s="46">
        <f t="shared" si="5"/>
        <v>48.31505570311068</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262</v>
      </c>
      <c r="B28" s="28"/>
      <c r="C28" s="28"/>
      <c r="D28" s="28"/>
      <c r="E28" s="28"/>
      <c r="F28" s="28"/>
      <c r="G28" s="28"/>
      <c r="H28" s="28"/>
      <c r="I28" s="28"/>
      <c r="J28" s="28"/>
      <c r="K28" s="28"/>
      <c r="L28" s="28"/>
      <c r="M28" s="28"/>
      <c r="N28" s="28"/>
      <c r="O28" s="28"/>
      <c r="P28" s="28"/>
      <c r="Q28" s="28"/>
      <c r="R28" s="28"/>
      <c r="S28" s="28"/>
      <c r="V28" s="307" t="s">
        <v>52</v>
      </c>
      <c r="W28" s="307"/>
      <c r="X28" s="307"/>
      <c r="Y28" s="307"/>
      <c r="Z28" s="307"/>
      <c r="AA28" s="307"/>
    </row>
    <row r="29" spans="1:27" ht="15.75" thickBot="1" x14ac:dyDescent="0.3">
      <c r="A29" s="295" t="s">
        <v>135</v>
      </c>
      <c r="B29" s="300" t="s">
        <v>32</v>
      </c>
      <c r="C29" s="279"/>
      <c r="D29" s="279"/>
      <c r="E29" s="279" t="s">
        <v>32</v>
      </c>
      <c r="F29" s="279"/>
      <c r="G29" s="279"/>
      <c r="H29" s="279" t="s">
        <v>33</v>
      </c>
      <c r="I29" s="279"/>
      <c r="J29" s="279"/>
      <c r="K29" s="279" t="s">
        <v>34</v>
      </c>
      <c r="L29" s="279"/>
      <c r="M29" s="279"/>
      <c r="N29" s="279" t="s">
        <v>34</v>
      </c>
      <c r="O29" s="279"/>
      <c r="P29" s="294"/>
      <c r="Q29" s="279" t="s">
        <v>34</v>
      </c>
      <c r="R29" s="279"/>
      <c r="S29" s="294"/>
      <c r="U29" s="1" t="s">
        <v>128</v>
      </c>
      <c r="V29" s="44" t="s">
        <v>129</v>
      </c>
      <c r="W29" s="44" t="s">
        <v>47</v>
      </c>
      <c r="X29" s="44" t="s">
        <v>49</v>
      </c>
      <c r="Y29" s="44" t="s">
        <v>130</v>
      </c>
      <c r="Z29" s="44" t="s">
        <v>131</v>
      </c>
      <c r="AA29" s="44" t="s">
        <v>132</v>
      </c>
    </row>
    <row r="30" spans="1:27" ht="15" x14ac:dyDescent="0.2">
      <c r="A30" s="296"/>
      <c r="B30" s="301" t="s">
        <v>149</v>
      </c>
      <c r="C30" s="302"/>
      <c r="D30" s="308"/>
      <c r="E30" s="291" t="s">
        <v>127</v>
      </c>
      <c r="F30" s="292"/>
      <c r="G30" s="292"/>
      <c r="H30" s="273" t="s">
        <v>42</v>
      </c>
      <c r="I30" s="274"/>
      <c r="J30" s="275"/>
      <c r="K30" s="291" t="s">
        <v>43</v>
      </c>
      <c r="L30" s="292"/>
      <c r="M30" s="293"/>
      <c r="N30" s="291" t="s">
        <v>44</v>
      </c>
      <c r="O30" s="292"/>
      <c r="P30" s="293"/>
      <c r="Q30" s="291" t="s">
        <v>150</v>
      </c>
      <c r="R30" s="292"/>
      <c r="S30" s="293"/>
      <c r="U30" s="1">
        <v>0</v>
      </c>
      <c r="V30" s="46">
        <f>H8</f>
        <v>15.603441089564733</v>
      </c>
      <c r="W30" s="46">
        <f>I8</f>
        <v>18.308035714285715</v>
      </c>
      <c r="X30" s="46">
        <f>K8</f>
        <v>20.138839285714287</v>
      </c>
      <c r="Y30" s="46">
        <f>M8</f>
        <v>22.152723214285718</v>
      </c>
      <c r="Z30" s="46">
        <f>N8</f>
        <v>24.367995535714293</v>
      </c>
      <c r="AA30" s="46">
        <f>O8</f>
        <v>26.804795089285726</v>
      </c>
    </row>
    <row r="31" spans="1:27" ht="15" thickBot="1" x14ac:dyDescent="0.25">
      <c r="A31" s="297"/>
      <c r="B31" s="65" t="s">
        <v>139</v>
      </c>
      <c r="C31" s="66" t="s">
        <v>140</v>
      </c>
      <c r="D31" s="70" t="s">
        <v>141</v>
      </c>
      <c r="E31" s="68" t="s">
        <v>139</v>
      </c>
      <c r="F31" s="68" t="s">
        <v>140</v>
      </c>
      <c r="G31" s="68" t="s">
        <v>141</v>
      </c>
      <c r="H31" s="65" t="s">
        <v>139</v>
      </c>
      <c r="I31" s="66" t="s">
        <v>140</v>
      </c>
      <c r="J31" s="70" t="s">
        <v>141</v>
      </c>
      <c r="K31" s="65" t="s">
        <v>139</v>
      </c>
      <c r="L31" s="66" t="s">
        <v>140</v>
      </c>
      <c r="M31" s="70" t="s">
        <v>141</v>
      </c>
      <c r="N31" s="65" t="s">
        <v>139</v>
      </c>
      <c r="O31" s="66" t="s">
        <v>140</v>
      </c>
      <c r="P31" s="70" t="s">
        <v>141</v>
      </c>
      <c r="Q31" s="65" t="s">
        <v>139</v>
      </c>
      <c r="R31" s="66" t="s">
        <v>140</v>
      </c>
      <c r="S31" s="70" t="s">
        <v>141</v>
      </c>
      <c r="U31" s="1">
        <v>1</v>
      </c>
      <c r="V31" s="46">
        <f t="shared" ref="V31:V50" si="14">V30*1.025</f>
        <v>15.99352711680385</v>
      </c>
      <c r="W31" s="46">
        <f t="shared" ref="W31:W50" si="15">W30*1.025</f>
        <v>18.765736607142856</v>
      </c>
      <c r="X31" s="46">
        <f t="shared" ref="X31:X50" si="16">X30*1.025</f>
        <v>20.642310267857141</v>
      </c>
      <c r="Y31" s="46">
        <f t="shared" ref="Y31:Y50" si="17">Y30*1.025</f>
        <v>22.706541294642857</v>
      </c>
      <c r="Z31" s="46">
        <f t="shared" ref="Z31:Z50" si="18">Z30*1.025</f>
        <v>24.977195424107148</v>
      </c>
      <c r="AA31" s="46">
        <f t="shared" ref="AA31:AA50" si="19">AA30*1.025</f>
        <v>27.474914966517865</v>
      </c>
    </row>
    <row r="32" spans="1:27" x14ac:dyDescent="0.2">
      <c r="A32" s="72" t="s">
        <v>142</v>
      </c>
      <c r="B32" s="73">
        <f>F8</f>
        <v>15.603441089564733</v>
      </c>
      <c r="C32" s="73">
        <f>MEDIAN(B32,D32)</f>
        <v>16.20332025832839</v>
      </c>
      <c r="D32" s="75">
        <f>B32*((1.025)^3)</f>
        <v>16.803199427092043</v>
      </c>
      <c r="E32" s="73">
        <f>I8</f>
        <v>18.308035714285715</v>
      </c>
      <c r="F32" s="73">
        <f>MEDIAN(E32,G32)</f>
        <v>19.01189386858259</v>
      </c>
      <c r="G32" s="73">
        <f>E32*((1.025)^3)</f>
        <v>19.715752022879464</v>
      </c>
      <c r="H32" s="74">
        <f>K8</f>
        <v>20.138839285714287</v>
      </c>
      <c r="I32" s="73">
        <f>MEDIAN(H32,J32)</f>
        <v>20.913083255440846</v>
      </c>
      <c r="J32" s="75">
        <f>H32*((1.025)^3)</f>
        <v>21.687327225167408</v>
      </c>
      <c r="K32" s="74">
        <f>M8</f>
        <v>22.152723214285718</v>
      </c>
      <c r="L32" s="73">
        <f>MEDIAN(K32,M32)</f>
        <v>23.004391580984937</v>
      </c>
      <c r="M32" s="75">
        <f>K32*((1.025)^3)</f>
        <v>23.856059947684152</v>
      </c>
      <c r="N32" s="74">
        <f>N8</f>
        <v>24.367995535714293</v>
      </c>
      <c r="O32" s="73">
        <f>MEDIAN(N32,P32)</f>
        <v>25.304830739083432</v>
      </c>
      <c r="P32" s="75">
        <f>N32*((1.025)^3)</f>
        <v>26.24166594245257</v>
      </c>
      <c r="Q32" s="74">
        <f>O8</f>
        <v>26.804795089285726</v>
      </c>
      <c r="R32" s="73">
        <f>MEDIAN(Q32,S32)</f>
        <v>27.835313812991778</v>
      </c>
      <c r="S32" s="75">
        <f>Q32*((1.025)^3)</f>
        <v>28.865832536697834</v>
      </c>
      <c r="U32" s="1">
        <v>2</v>
      </c>
      <c r="V32" s="46">
        <f t="shared" si="14"/>
        <v>16.393365294723946</v>
      </c>
      <c r="W32" s="46">
        <f t="shared" si="15"/>
        <v>19.234880022321427</v>
      </c>
      <c r="X32" s="46">
        <f t="shared" si="16"/>
        <v>21.158368024553567</v>
      </c>
      <c r="Y32" s="46">
        <f t="shared" si="17"/>
        <v>23.274204827008926</v>
      </c>
      <c r="Z32" s="46">
        <f t="shared" si="18"/>
        <v>25.601625309709824</v>
      </c>
      <c r="AA32" s="46">
        <f t="shared" si="19"/>
        <v>28.161787840680809</v>
      </c>
    </row>
    <row r="33" spans="1:27" x14ac:dyDescent="0.2">
      <c r="A33" s="76" t="s">
        <v>143</v>
      </c>
      <c r="B33" s="73">
        <f>B32*((1.025)^4)</f>
        <v>17.223279412769344</v>
      </c>
      <c r="C33" s="73">
        <f t="shared" ref="C33:C37" si="20">MEDIAN(B33,D33)</f>
        <v>17.659243672905067</v>
      </c>
      <c r="D33" s="75">
        <f>B32*((1.025)^6)</f>
        <v>18.09520793304079</v>
      </c>
      <c r="E33" s="73">
        <f>E32*((1.025)^4)</f>
        <v>20.208645823451448</v>
      </c>
      <c r="F33" s="73">
        <f t="shared" ref="F33:F37" si="21">MEDIAN(E33,G33)</f>
        <v>20.720177170857561</v>
      </c>
      <c r="G33" s="73">
        <f>E32*((1.025)^6)</f>
        <v>21.231708518263673</v>
      </c>
      <c r="H33" s="74">
        <f>H32*((1.025)^4)</f>
        <v>22.229510405796592</v>
      </c>
      <c r="I33" s="73">
        <f t="shared" ref="I33:I37" si="22">MEDIAN(H33,J33)</f>
        <v>22.792194887943317</v>
      </c>
      <c r="J33" s="75">
        <f>H32*((1.025)^6)</f>
        <v>23.354879370090043</v>
      </c>
      <c r="K33" s="74">
        <f>K32*((1.025)^4)</f>
        <v>24.452461446376255</v>
      </c>
      <c r="L33" s="73">
        <f t="shared" ref="L33:L37" si="23">MEDIAN(K33,M33)</f>
        <v>25.07141437673765</v>
      </c>
      <c r="M33" s="75">
        <f>K32*((1.025)^6)</f>
        <v>25.690367307099049</v>
      </c>
      <c r="N33" s="74">
        <f>N32*((1.025)^4)</f>
        <v>26.897707591013884</v>
      </c>
      <c r="O33" s="73">
        <f t="shared" ref="O33:O37" si="24">MEDIAN(N33,P33)</f>
        <v>27.57855581441142</v>
      </c>
      <c r="P33" s="75">
        <f>N32*((1.025)^6)</f>
        <v>28.259404037808956</v>
      </c>
      <c r="Q33" s="74">
        <f>Q32*((1.025)^4)</f>
        <v>29.587478350115276</v>
      </c>
      <c r="R33" s="73">
        <f t="shared" ref="R33:R37" si="25">MEDIAN(Q33,S33)</f>
        <v>30.336411395852565</v>
      </c>
      <c r="S33" s="75">
        <f>Q32*((1.025)^6)</f>
        <v>31.085344441589857</v>
      </c>
      <c r="U33" s="1">
        <v>3</v>
      </c>
      <c r="V33" s="46">
        <f t="shared" si="14"/>
        <v>16.803199427092043</v>
      </c>
      <c r="W33" s="46">
        <f t="shared" si="15"/>
        <v>19.71575202287946</v>
      </c>
      <c r="X33" s="46">
        <f t="shared" si="16"/>
        <v>21.687327225167405</v>
      </c>
      <c r="Y33" s="46">
        <f t="shared" si="17"/>
        <v>23.856059947684148</v>
      </c>
      <c r="Z33" s="46">
        <f t="shared" si="18"/>
        <v>26.241665942452567</v>
      </c>
      <c r="AA33" s="46">
        <f t="shared" si="19"/>
        <v>28.865832536697827</v>
      </c>
    </row>
    <row r="34" spans="1:27" x14ac:dyDescent="0.2">
      <c r="A34" s="76" t="s">
        <v>144</v>
      </c>
      <c r="B34" s="73">
        <f>B32*((1.025)^7)</f>
        <v>18.547588131366808</v>
      </c>
      <c r="C34" s="73">
        <f t="shared" si="20"/>
        <v>19.017073955942028</v>
      </c>
      <c r="D34" s="75">
        <f>B32*((1.025)^9)</f>
        <v>19.486559780517247</v>
      </c>
      <c r="E34" s="73">
        <f>E32*((1.025)^7)</f>
        <v>21.762501231220266</v>
      </c>
      <c r="F34" s="73">
        <f t="shared" si="21"/>
        <v>22.313364543635526</v>
      </c>
      <c r="G34" s="73">
        <f>E32*((1.025)^9)</f>
        <v>22.864227856050785</v>
      </c>
      <c r="H34" s="74">
        <f>H32*((1.025)^7)</f>
        <v>23.938751354342294</v>
      </c>
      <c r="I34" s="73">
        <f t="shared" si="22"/>
        <v>24.54470099799908</v>
      </c>
      <c r="J34" s="75">
        <f>H32*((1.025)^9)</f>
        <v>25.150650641655865</v>
      </c>
      <c r="K34" s="74">
        <f>K32*((1.025)^7)</f>
        <v>26.332626489776526</v>
      </c>
      <c r="L34" s="73">
        <f t="shared" si="23"/>
        <v>26.999171097798992</v>
      </c>
      <c r="M34" s="75">
        <f>K32*((1.025)^9)</f>
        <v>27.665715705821455</v>
      </c>
      <c r="N34" s="74">
        <f>N32*((1.025)^7)</f>
        <v>28.965889138754182</v>
      </c>
      <c r="O34" s="73">
        <f t="shared" si="24"/>
        <v>29.699088207578896</v>
      </c>
      <c r="P34" s="75">
        <f>N32*((1.025)^9)</f>
        <v>30.432287276403606</v>
      </c>
      <c r="Q34" s="74">
        <f>Q32*((1.025)^7)</f>
        <v>31.862478052629605</v>
      </c>
      <c r="R34" s="73">
        <f t="shared" si="25"/>
        <v>32.66899702833679</v>
      </c>
      <c r="S34" s="75">
        <f>Q32*((1.025)^9)</f>
        <v>33.475516004043968</v>
      </c>
      <c r="U34" s="1">
        <v>4</v>
      </c>
      <c r="V34" s="46">
        <f t="shared" si="14"/>
        <v>17.223279412769344</v>
      </c>
      <c r="W34" s="46">
        <f t="shared" si="15"/>
        <v>20.208645823451445</v>
      </c>
      <c r="X34" s="46">
        <f t="shared" si="16"/>
        <v>22.229510405796589</v>
      </c>
      <c r="Y34" s="46">
        <f t="shared" si="17"/>
        <v>24.452461446376251</v>
      </c>
      <c r="Z34" s="46">
        <f t="shared" si="18"/>
        <v>26.89770759101388</v>
      </c>
      <c r="AA34" s="46">
        <f t="shared" si="19"/>
        <v>29.587478350115269</v>
      </c>
    </row>
    <row r="35" spans="1:27" x14ac:dyDescent="0.2">
      <c r="A35" s="76" t="s">
        <v>145</v>
      </c>
      <c r="B35" s="73">
        <f>B32*((1.025)^10)</f>
        <v>19.97372377503018</v>
      </c>
      <c r="C35" s="73">
        <f t="shared" si="20"/>
        <v>20.479308658085628</v>
      </c>
      <c r="D35" s="75">
        <f>B32*((1.025)^12)</f>
        <v>20.98489354114108</v>
      </c>
      <c r="E35" s="73">
        <f>E32*((1.025)^10)</f>
        <v>23.435833552452056</v>
      </c>
      <c r="F35" s="73">
        <f t="shared" si="21"/>
        <v>24.029053089248499</v>
      </c>
      <c r="G35" s="73">
        <f>E32*((1.025)^12)</f>
        <v>24.622272626044939</v>
      </c>
      <c r="H35" s="74">
        <f>H32*((1.025)^10)</f>
        <v>25.779416907697261</v>
      </c>
      <c r="I35" s="73">
        <f t="shared" si="22"/>
        <v>26.431958398173347</v>
      </c>
      <c r="J35" s="75">
        <f>H32*((1.025)^12)</f>
        <v>27.084499888649432</v>
      </c>
      <c r="K35" s="74">
        <f>K32*((1.025)^10)</f>
        <v>28.357358598466991</v>
      </c>
      <c r="L35" s="73">
        <f t="shared" si="23"/>
        <v>29.075154237990688</v>
      </c>
      <c r="M35" s="75">
        <f>K32*((1.025)^12)</f>
        <v>29.792949877514381</v>
      </c>
      <c r="N35" s="74">
        <f>N32*((1.025)^10)</f>
        <v>31.193094458313695</v>
      </c>
      <c r="O35" s="73">
        <f t="shared" si="24"/>
        <v>31.98266966178976</v>
      </c>
      <c r="P35" s="75">
        <f>N32*((1.025)^12)</f>
        <v>32.772244865265826</v>
      </c>
      <c r="Q35" s="74">
        <f>Q32*((1.025)^10)</f>
        <v>34.312403904145071</v>
      </c>
      <c r="R35" s="73">
        <f t="shared" si="25"/>
        <v>35.180936627968741</v>
      </c>
      <c r="S35" s="75">
        <f>Q32*((1.025)^12)</f>
        <v>36.049469351792411</v>
      </c>
      <c r="U35" s="1">
        <v>5</v>
      </c>
      <c r="V35" s="46">
        <f t="shared" si="14"/>
        <v>17.653861398088576</v>
      </c>
      <c r="W35" s="46">
        <f t="shared" si="15"/>
        <v>20.71386196903773</v>
      </c>
      <c r="X35" s="46">
        <f t="shared" si="16"/>
        <v>22.7852481659415</v>
      </c>
      <c r="Y35" s="46">
        <f t="shared" si="17"/>
        <v>25.063772982535657</v>
      </c>
      <c r="Z35" s="46">
        <f t="shared" si="18"/>
        <v>27.570150280789225</v>
      </c>
      <c r="AA35" s="46">
        <f t="shared" si="19"/>
        <v>30.32716530886815</v>
      </c>
    </row>
    <row r="36" spans="1:27" x14ac:dyDescent="0.2">
      <c r="A36" s="76" t="s">
        <v>146</v>
      </c>
      <c r="B36" s="73">
        <f>B32*((1.025)^13)</f>
        <v>21.509515879669607</v>
      </c>
      <c r="C36" s="73">
        <f t="shared" si="20"/>
        <v>22.053975500373745</v>
      </c>
      <c r="D36" s="73">
        <f>B32*((1.025)^15)</f>
        <v>22.59843512107788</v>
      </c>
      <c r="E36" s="74">
        <f>E32*((1.025)^13)</f>
        <v>25.237829441696061</v>
      </c>
      <c r="F36" s="73">
        <f t="shared" si="21"/>
        <v>25.876661999438994</v>
      </c>
      <c r="G36" s="75">
        <f>E32*((1.025)^15)</f>
        <v>26.515494557181928</v>
      </c>
      <c r="H36" s="73">
        <f>H32*((1.025)^13)</f>
        <v>27.761612385865668</v>
      </c>
      <c r="I36" s="73">
        <f t="shared" si="22"/>
        <v>28.464328199382891</v>
      </c>
      <c r="J36" s="75">
        <f>H32*((1.025)^15)</f>
        <v>29.167044012900117</v>
      </c>
      <c r="K36" s="74">
        <f>K32*((1.025)^13)</f>
        <v>30.537773624452239</v>
      </c>
      <c r="L36" s="73">
        <f t="shared" si="23"/>
        <v>31.310761019321184</v>
      </c>
      <c r="M36" s="75">
        <f>K32*((1.025)^15)</f>
        <v>32.083748414190133</v>
      </c>
      <c r="N36" s="74">
        <f>N32*((1.025)^13)</f>
        <v>33.591550986897467</v>
      </c>
      <c r="O36" s="73">
        <f t="shared" si="24"/>
        <v>34.441837121253315</v>
      </c>
      <c r="P36" s="75">
        <f>N32*((1.025)^15)</f>
        <v>35.292123255609155</v>
      </c>
      <c r="Q36" s="74">
        <f>Q32*((1.025)^13)</f>
        <v>36.950706085587221</v>
      </c>
      <c r="R36" s="73">
        <f t="shared" si="25"/>
        <v>37.886020833378652</v>
      </c>
      <c r="S36" s="75">
        <f>Q32*((1.025)^15)</f>
        <v>38.821335581170075</v>
      </c>
      <c r="T36" s="46"/>
      <c r="U36" s="1">
        <v>6</v>
      </c>
      <c r="V36" s="46">
        <f t="shared" si="14"/>
        <v>18.09520793304079</v>
      </c>
      <c r="W36" s="46">
        <f t="shared" si="15"/>
        <v>21.23170851826367</v>
      </c>
      <c r="X36" s="46">
        <f t="shared" si="16"/>
        <v>23.354879370090035</v>
      </c>
      <c r="Y36" s="46">
        <f t="shared" si="17"/>
        <v>25.690367307099045</v>
      </c>
      <c r="Z36" s="46">
        <f t="shared" si="18"/>
        <v>28.259404037808952</v>
      </c>
      <c r="AA36" s="46">
        <f t="shared" si="19"/>
        <v>31.08534444158985</v>
      </c>
    </row>
    <row r="37" spans="1:27" x14ac:dyDescent="0.2">
      <c r="A37" s="76" t="s">
        <v>147</v>
      </c>
      <c r="B37" s="73">
        <f>B32*((1.025)^16)</f>
        <v>23.163395999104829</v>
      </c>
      <c r="C37" s="73">
        <f t="shared" si="20"/>
        <v>24.365725546784141</v>
      </c>
      <c r="D37" s="73">
        <f>B32*((1.025)^20)</f>
        <v>25.568055094463453</v>
      </c>
      <c r="E37" s="74">
        <f>E32*((1.025)^16)</f>
        <v>27.178381921111473</v>
      </c>
      <c r="F37" s="73">
        <f t="shared" si="21"/>
        <v>28.589115115981883</v>
      </c>
      <c r="G37" s="75">
        <f>E32*((1.025)^20)</f>
        <v>29.99984831085229</v>
      </c>
      <c r="H37" s="74">
        <f>H32*((1.025)^16)</f>
        <v>29.896220113222618</v>
      </c>
      <c r="I37" s="73">
        <f t="shared" si="22"/>
        <v>31.448026627580067</v>
      </c>
      <c r="J37" s="75">
        <f>H32*((1.025)^20)</f>
        <v>32.999833141937515</v>
      </c>
      <c r="K37" s="73">
        <f>K32*((1.025)^16)</f>
        <v>32.885842124544887</v>
      </c>
      <c r="L37" s="73">
        <f t="shared" si="23"/>
        <v>34.592829290338081</v>
      </c>
      <c r="M37" s="75">
        <f>K32*((1.025)^20)</f>
        <v>36.299816456131275</v>
      </c>
      <c r="N37" s="73">
        <f>N32*((1.025)^16)</f>
        <v>36.174426336999375</v>
      </c>
      <c r="O37" s="73">
        <f t="shared" si="24"/>
        <v>38.052112219371892</v>
      </c>
      <c r="P37" s="73">
        <f>N32*((1.025)^20)</f>
        <v>39.929798101744403</v>
      </c>
      <c r="Q37" s="74">
        <f>Q32*((1.025)^16)</f>
        <v>39.791868970699319</v>
      </c>
      <c r="R37" s="73">
        <f t="shared" si="25"/>
        <v>41.857323441309084</v>
      </c>
      <c r="S37" s="75">
        <f>Q32*((1.025)^20)</f>
        <v>43.92277791191885</v>
      </c>
      <c r="U37" s="1">
        <v>7</v>
      </c>
      <c r="V37" s="46">
        <f t="shared" si="14"/>
        <v>18.547588131366808</v>
      </c>
      <c r="W37" s="46">
        <f t="shared" si="15"/>
        <v>21.762501231220259</v>
      </c>
      <c r="X37" s="46">
        <f t="shared" si="16"/>
        <v>23.938751354342283</v>
      </c>
      <c r="Y37" s="46">
        <f t="shared" si="17"/>
        <v>26.332626489776519</v>
      </c>
      <c r="Z37" s="46">
        <f t="shared" si="18"/>
        <v>28.965889138754175</v>
      </c>
      <c r="AA37" s="46">
        <f t="shared" si="19"/>
        <v>31.862478052629594</v>
      </c>
    </row>
    <row r="38" spans="1:27" ht="15" x14ac:dyDescent="0.25">
      <c r="A38" s="44"/>
      <c r="B38" s="36"/>
      <c r="C38" s="46"/>
      <c r="D38" s="36"/>
      <c r="E38" s="81"/>
      <c r="F38" s="81"/>
      <c r="G38" s="81"/>
      <c r="H38" s="81"/>
      <c r="I38" s="73"/>
      <c r="J38" s="73"/>
      <c r="M38" s="40"/>
      <c r="P38" s="1"/>
      <c r="U38" s="1">
        <v>8</v>
      </c>
      <c r="V38" s="46">
        <f t="shared" si="14"/>
        <v>19.011277834650976</v>
      </c>
      <c r="W38" s="46">
        <f t="shared" si="15"/>
        <v>22.306563762000764</v>
      </c>
      <c r="X38" s="46">
        <f t="shared" si="16"/>
        <v>24.537220138200837</v>
      </c>
      <c r="Y38" s="46">
        <f t="shared" si="17"/>
        <v>26.990942152020931</v>
      </c>
      <c r="Z38" s="46">
        <f t="shared" si="18"/>
        <v>29.690036367223026</v>
      </c>
      <c r="AA38" s="46">
        <f t="shared" si="19"/>
        <v>32.659040003945329</v>
      </c>
    </row>
    <row r="39" spans="1:27" x14ac:dyDescent="0.2">
      <c r="O39" s="40"/>
      <c r="P39" s="1"/>
      <c r="U39" s="1">
        <v>9</v>
      </c>
      <c r="V39" s="46">
        <f t="shared" si="14"/>
        <v>19.486559780517247</v>
      </c>
      <c r="W39" s="46">
        <f t="shared" si="15"/>
        <v>22.864227856050782</v>
      </c>
      <c r="X39" s="46">
        <f t="shared" si="16"/>
        <v>25.150650641655854</v>
      </c>
      <c r="Y39" s="46">
        <f t="shared" si="17"/>
        <v>27.665715705821452</v>
      </c>
      <c r="Z39" s="46">
        <f t="shared" si="18"/>
        <v>30.432287276403599</v>
      </c>
      <c r="AA39" s="46">
        <f t="shared" si="19"/>
        <v>33.475516004043961</v>
      </c>
    </row>
    <row r="40" spans="1:27" x14ac:dyDescent="0.2">
      <c r="U40" s="1">
        <v>10</v>
      </c>
      <c r="V40" s="46">
        <f t="shared" si="14"/>
        <v>19.973723775030177</v>
      </c>
      <c r="W40" s="46">
        <f t="shared" si="15"/>
        <v>23.435833552452049</v>
      </c>
      <c r="X40" s="46">
        <f t="shared" si="16"/>
        <v>25.77941690769725</v>
      </c>
      <c r="Y40" s="46">
        <f t="shared" si="17"/>
        <v>28.357358598466984</v>
      </c>
      <c r="Z40" s="46">
        <f t="shared" si="18"/>
        <v>31.193094458313688</v>
      </c>
      <c r="AA40" s="46">
        <f t="shared" si="19"/>
        <v>34.312403904145057</v>
      </c>
    </row>
    <row r="41" spans="1:27" x14ac:dyDescent="0.2">
      <c r="U41" s="1">
        <v>11</v>
      </c>
      <c r="V41" s="46">
        <f t="shared" si="14"/>
        <v>20.47306686940593</v>
      </c>
      <c r="W41" s="46">
        <f t="shared" si="15"/>
        <v>24.021729391263349</v>
      </c>
      <c r="X41" s="46">
        <f t="shared" si="16"/>
        <v>26.42390233038968</v>
      </c>
      <c r="Y41" s="46">
        <f t="shared" si="17"/>
        <v>29.066292563428657</v>
      </c>
      <c r="Z41" s="46">
        <f t="shared" si="18"/>
        <v>31.972921819771528</v>
      </c>
      <c r="AA41" s="46">
        <f t="shared" si="19"/>
        <v>35.170214001748683</v>
      </c>
    </row>
    <row r="42" spans="1:27" x14ac:dyDescent="0.2">
      <c r="D42" s="83"/>
      <c r="U42" s="1">
        <v>12</v>
      </c>
      <c r="V42" s="46">
        <f t="shared" si="14"/>
        <v>20.984893541141076</v>
      </c>
      <c r="W42" s="46">
        <f t="shared" si="15"/>
        <v>24.622272626044932</v>
      </c>
      <c r="X42" s="46">
        <f t="shared" si="16"/>
        <v>27.084499888649418</v>
      </c>
      <c r="Y42" s="46">
        <f t="shared" si="17"/>
        <v>29.792949877514371</v>
      </c>
      <c r="Z42" s="46">
        <f t="shared" si="18"/>
        <v>32.772244865265812</v>
      </c>
      <c r="AA42" s="46">
        <f t="shared" si="19"/>
        <v>36.049469351792396</v>
      </c>
    </row>
    <row r="43" spans="1:27" x14ac:dyDescent="0.2">
      <c r="D43" s="83"/>
      <c r="G43" s="35"/>
      <c r="U43" s="1">
        <v>13</v>
      </c>
      <c r="V43" s="46">
        <f t="shared" si="14"/>
        <v>21.5095158796696</v>
      </c>
      <c r="W43" s="46">
        <f t="shared" si="15"/>
        <v>25.237829441696054</v>
      </c>
      <c r="X43" s="46">
        <f t="shared" si="16"/>
        <v>27.76161238586565</v>
      </c>
      <c r="Y43" s="46">
        <f t="shared" si="17"/>
        <v>30.537773624452228</v>
      </c>
      <c r="Z43" s="46">
        <f t="shared" si="18"/>
        <v>33.591550986897452</v>
      </c>
      <c r="AA43" s="46">
        <f t="shared" si="19"/>
        <v>36.9507060855872</v>
      </c>
    </row>
    <row r="44" spans="1:27" x14ac:dyDescent="0.2">
      <c r="D44" s="83"/>
      <c r="U44" s="1">
        <v>14</v>
      </c>
      <c r="V44" s="46">
        <f t="shared" si="14"/>
        <v>22.047253776661339</v>
      </c>
      <c r="W44" s="46">
        <f t="shared" si="15"/>
        <v>25.868775177738453</v>
      </c>
      <c r="X44" s="46">
        <f t="shared" si="16"/>
        <v>28.455652695512288</v>
      </c>
      <c r="Y44" s="46">
        <f t="shared" si="17"/>
        <v>31.301217965063532</v>
      </c>
      <c r="Z44" s="46">
        <f t="shared" si="18"/>
        <v>34.431339761569888</v>
      </c>
      <c r="AA44" s="46">
        <f t="shared" si="19"/>
        <v>37.874473737726873</v>
      </c>
    </row>
    <row r="45" spans="1:27" x14ac:dyDescent="0.2">
      <c r="U45" s="1">
        <v>15</v>
      </c>
      <c r="V45" s="46">
        <f t="shared" si="14"/>
        <v>22.59843512107787</v>
      </c>
      <c r="W45" s="46">
        <f t="shared" si="15"/>
        <v>26.515494557181913</v>
      </c>
      <c r="X45" s="46">
        <f t="shared" si="16"/>
        <v>29.167044012900092</v>
      </c>
      <c r="Y45" s="46">
        <f t="shared" si="17"/>
        <v>32.083748414190119</v>
      </c>
      <c r="Z45" s="46">
        <f t="shared" si="18"/>
        <v>35.292123255609134</v>
      </c>
      <c r="AA45" s="46">
        <f t="shared" si="19"/>
        <v>38.82133558117004</v>
      </c>
    </row>
    <row r="46" spans="1:27" x14ac:dyDescent="0.2">
      <c r="U46" s="1">
        <v>16</v>
      </c>
      <c r="V46" s="46">
        <f t="shared" si="14"/>
        <v>23.163395999104814</v>
      </c>
      <c r="W46" s="46">
        <f t="shared" si="15"/>
        <v>27.178381921111459</v>
      </c>
      <c r="X46" s="46">
        <f t="shared" si="16"/>
        <v>29.896220113222594</v>
      </c>
      <c r="Y46" s="46">
        <f t="shared" si="17"/>
        <v>32.885842124544865</v>
      </c>
      <c r="Z46" s="46">
        <f t="shared" si="18"/>
        <v>36.17442633699936</v>
      </c>
      <c r="AA46" s="46">
        <f t="shared" si="19"/>
        <v>39.791868970699284</v>
      </c>
    </row>
    <row r="47" spans="1:27" x14ac:dyDescent="0.2">
      <c r="U47" s="1">
        <v>17</v>
      </c>
      <c r="V47" s="46">
        <f t="shared" si="14"/>
        <v>23.742480899082434</v>
      </c>
      <c r="W47" s="46">
        <f t="shared" si="15"/>
        <v>27.857841469139242</v>
      </c>
      <c r="X47" s="46">
        <f t="shared" si="16"/>
        <v>30.643625616053157</v>
      </c>
      <c r="Y47" s="46">
        <f t="shared" si="17"/>
        <v>33.707988177658486</v>
      </c>
      <c r="Z47" s="46">
        <f t="shared" si="18"/>
        <v>37.078786995424338</v>
      </c>
      <c r="AA47" s="46">
        <f t="shared" si="19"/>
        <v>40.786665694966764</v>
      </c>
    </row>
    <row r="48" spans="1:27" x14ac:dyDescent="0.2">
      <c r="U48" s="1">
        <v>18</v>
      </c>
      <c r="V48" s="46">
        <f t="shared" si="14"/>
        <v>24.336042921559493</v>
      </c>
      <c r="W48" s="46">
        <f t="shared" si="15"/>
        <v>28.55428750586772</v>
      </c>
      <c r="X48" s="46">
        <f t="shared" si="16"/>
        <v>31.409716256454484</v>
      </c>
      <c r="Y48" s="46">
        <f t="shared" si="17"/>
        <v>34.550687882099943</v>
      </c>
      <c r="Z48" s="46">
        <f t="shared" si="18"/>
        <v>38.005756670309943</v>
      </c>
      <c r="AA48" s="46">
        <f t="shared" si="19"/>
        <v>41.806332337340933</v>
      </c>
    </row>
    <row r="49" spans="21:27" x14ac:dyDescent="0.2">
      <c r="U49" s="1">
        <v>19</v>
      </c>
      <c r="V49" s="46">
        <f t="shared" si="14"/>
        <v>24.944443994598476</v>
      </c>
      <c r="W49" s="46">
        <f t="shared" si="15"/>
        <v>29.268144693514412</v>
      </c>
      <c r="X49" s="46">
        <f t="shared" si="16"/>
        <v>32.194959162865842</v>
      </c>
      <c r="Y49" s="46">
        <f t="shared" si="17"/>
        <v>35.41445507915244</v>
      </c>
      <c r="Z49" s="46">
        <f t="shared" si="18"/>
        <v>38.955900587067688</v>
      </c>
      <c r="AA49" s="46">
        <f t="shared" si="19"/>
        <v>42.851490645774454</v>
      </c>
    </row>
    <row r="50" spans="21:27" x14ac:dyDescent="0.2">
      <c r="U50" s="1">
        <v>20</v>
      </c>
      <c r="V50" s="46">
        <f t="shared" si="14"/>
        <v>25.568055094463435</v>
      </c>
      <c r="W50" s="46">
        <f t="shared" si="15"/>
        <v>29.999848310852268</v>
      </c>
      <c r="X50" s="46">
        <f t="shared" si="16"/>
        <v>32.999833141937486</v>
      </c>
      <c r="Y50" s="46">
        <f t="shared" si="17"/>
        <v>36.299816456131246</v>
      </c>
      <c r="Z50" s="46">
        <f t="shared" si="18"/>
        <v>39.929798101744375</v>
      </c>
      <c r="AA50" s="46">
        <f t="shared" si="19"/>
        <v>43.922777911918814</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C3" sqref="C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9" t="s">
        <v>263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26" ht="15.75" x14ac:dyDescent="0.25">
      <c r="A2" s="222" t="s">
        <v>381</v>
      </c>
    </row>
    <row r="3" spans="1:26" x14ac:dyDescent="0.25">
      <c r="A3" s="12">
        <v>894</v>
      </c>
    </row>
    <row r="4" spans="1:26" ht="20.25" x14ac:dyDescent="0.3">
      <c r="A4" s="171"/>
      <c r="B4" s="171"/>
      <c r="C4" s="171"/>
      <c r="D4" s="171"/>
      <c r="E4" s="171"/>
      <c r="F4" s="171"/>
      <c r="G4" s="171"/>
      <c r="H4" s="171"/>
      <c r="I4" s="171"/>
      <c r="J4" s="171"/>
      <c r="K4" s="171"/>
      <c r="L4" s="171"/>
      <c r="M4" s="171"/>
      <c r="N4" s="171"/>
      <c r="O4" s="171"/>
    </row>
    <row r="5" spans="1:26" ht="15.75" x14ac:dyDescent="0.25">
      <c r="A5" s="314" t="s">
        <v>152</v>
      </c>
      <c r="B5" s="314"/>
      <c r="C5" s="314"/>
      <c r="E5" s="314" t="s">
        <v>153</v>
      </c>
      <c r="F5" s="314"/>
      <c r="G5" s="314"/>
      <c r="I5" s="314" t="s">
        <v>154</v>
      </c>
      <c r="J5" s="314"/>
      <c r="K5" s="314"/>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3</v>
      </c>
      <c r="C7" s="19">
        <f>B7/A3</f>
        <v>3.3557046979865771E-3</v>
      </c>
      <c r="E7" s="23" t="s">
        <v>162</v>
      </c>
      <c r="F7" s="18"/>
      <c r="G7" s="19">
        <v>4.2000000000000003E-2</v>
      </c>
      <c r="I7" s="23" t="s">
        <v>163</v>
      </c>
      <c r="J7" s="18">
        <v>729</v>
      </c>
      <c r="K7" s="19">
        <f>J7/A3</f>
        <v>0.81543624161073824</v>
      </c>
      <c r="M7" s="23" t="s">
        <v>164</v>
      </c>
      <c r="N7" s="18">
        <v>74</v>
      </c>
      <c r="O7" s="19">
        <f>N7/A3</f>
        <v>8.2774049217002238E-2</v>
      </c>
    </row>
    <row r="8" spans="1:26" x14ac:dyDescent="0.25">
      <c r="A8" s="20" t="s">
        <v>165</v>
      </c>
      <c r="B8" s="21">
        <v>44</v>
      </c>
      <c r="C8" s="22">
        <f>B8/A3</f>
        <v>4.9217002237136466E-2</v>
      </c>
      <c r="E8" s="24" t="s">
        <v>166</v>
      </c>
      <c r="F8" s="21"/>
      <c r="G8" s="19">
        <v>0.25700000000000001</v>
      </c>
      <c r="I8" s="24" t="s">
        <v>167</v>
      </c>
      <c r="J8" s="21">
        <v>86</v>
      </c>
      <c r="K8" s="19">
        <f>J8/A3</f>
        <v>9.6196868008948541E-2</v>
      </c>
      <c r="M8" s="24" t="s">
        <v>168</v>
      </c>
      <c r="N8" s="21">
        <v>820</v>
      </c>
      <c r="O8" s="22">
        <f>N8/A3</f>
        <v>0.91722595078299773</v>
      </c>
    </row>
    <row r="9" spans="1:26" x14ac:dyDescent="0.25">
      <c r="A9" s="20" t="s">
        <v>169</v>
      </c>
      <c r="B9" s="21">
        <v>145</v>
      </c>
      <c r="C9" s="22">
        <f>B9/A3</f>
        <v>0.1621923937360179</v>
      </c>
      <c r="E9" s="24" t="s">
        <v>170</v>
      </c>
      <c r="F9" s="21"/>
      <c r="G9" s="19">
        <v>0.24399999999999999</v>
      </c>
      <c r="I9" s="24" t="s">
        <v>171</v>
      </c>
      <c r="J9" s="21">
        <v>44</v>
      </c>
      <c r="K9" s="19">
        <f>J9/A3</f>
        <v>4.9217002237136466E-2</v>
      </c>
    </row>
    <row r="10" spans="1:26" x14ac:dyDescent="0.25">
      <c r="A10" s="20" t="s">
        <v>172</v>
      </c>
      <c r="B10" s="21">
        <v>234</v>
      </c>
      <c r="C10" s="22">
        <f>B10/A3</f>
        <v>0.26174496644295303</v>
      </c>
      <c r="E10" s="24" t="s">
        <v>173</v>
      </c>
      <c r="F10" s="21"/>
      <c r="G10" s="19">
        <v>0.14399999999999999</v>
      </c>
      <c r="I10" s="24" t="s">
        <v>174</v>
      </c>
      <c r="J10" s="21">
        <v>22</v>
      </c>
      <c r="K10" s="19">
        <f>J10/A3</f>
        <v>2.4608501118568233E-2</v>
      </c>
    </row>
    <row r="11" spans="1:26" x14ac:dyDescent="0.25">
      <c r="A11" s="20" t="s">
        <v>175</v>
      </c>
      <c r="B11" s="21">
        <v>265</v>
      </c>
      <c r="C11" s="22">
        <f>B11/A3</f>
        <v>0.29642058165548096</v>
      </c>
      <c r="E11" s="24" t="s">
        <v>176</v>
      </c>
      <c r="F11" s="21"/>
      <c r="G11" s="19">
        <v>0.22800000000000001</v>
      </c>
      <c r="I11" s="24" t="s">
        <v>177</v>
      </c>
      <c r="J11" s="21">
        <v>11</v>
      </c>
      <c r="K11" s="19">
        <f>J11/A3</f>
        <v>1.2304250559284116E-2</v>
      </c>
    </row>
    <row r="12" spans="1:26" x14ac:dyDescent="0.25">
      <c r="A12" s="20" t="s">
        <v>178</v>
      </c>
      <c r="B12" s="21">
        <v>162</v>
      </c>
      <c r="C12" s="22">
        <f>B12/A3</f>
        <v>0.18120805369127516</v>
      </c>
      <c r="E12" s="24" t="s">
        <v>179</v>
      </c>
      <c r="F12" s="21"/>
      <c r="G12" s="19">
        <v>7.0999999999999994E-2</v>
      </c>
      <c r="I12" s="24" t="s">
        <v>180</v>
      </c>
      <c r="J12" s="21">
        <v>3</v>
      </c>
      <c r="K12" s="19">
        <f>J12/A3</f>
        <v>3.3557046979865771E-3</v>
      </c>
    </row>
    <row r="13" spans="1:26" x14ac:dyDescent="0.25">
      <c r="A13" s="20" t="s">
        <v>181</v>
      </c>
      <c r="B13" s="21">
        <v>40</v>
      </c>
      <c r="C13" s="22">
        <f>B13/A3</f>
        <v>4.4742729306487698E-2</v>
      </c>
      <c r="E13" s="24" t="s">
        <v>182</v>
      </c>
      <c r="F13" s="21"/>
      <c r="G13" s="19">
        <v>1.4E-2</v>
      </c>
      <c r="I13" s="24" t="s">
        <v>183</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18" zoomScaleNormal="100" workbookViewId="0">
      <selection activeCell="T38" sqref="T38:U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9" t="s">
        <v>264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4" spans="1:26" ht="18.75" x14ac:dyDescent="0.3">
      <c r="A4" s="318" t="s">
        <v>265</v>
      </c>
      <c r="B4" s="318"/>
      <c r="C4" s="318"/>
      <c r="D4" s="318"/>
      <c r="E4" s="318"/>
      <c r="F4" s="318"/>
      <c r="G4" s="318"/>
      <c r="H4" s="318"/>
    </row>
    <row r="5" spans="1:26" ht="36" customHeight="1" x14ac:dyDescent="0.25">
      <c r="A5" s="316" t="s">
        <v>186</v>
      </c>
      <c r="B5" s="317" t="s">
        <v>187</v>
      </c>
      <c r="C5" s="317" t="s">
        <v>188</v>
      </c>
      <c r="D5" s="317" t="s">
        <v>266</v>
      </c>
      <c r="E5" s="317" t="s">
        <v>190</v>
      </c>
      <c r="F5" s="317"/>
      <c r="G5" s="317" t="s">
        <v>191</v>
      </c>
      <c r="H5" s="317"/>
      <c r="P5"/>
      <c r="R5" s="10"/>
    </row>
    <row r="6" spans="1:26" ht="15.75" thickBot="1" x14ac:dyDescent="0.3">
      <c r="A6" s="316"/>
      <c r="B6" s="317"/>
      <c r="C6" s="317"/>
      <c r="D6" s="319"/>
      <c r="E6" s="163" t="s">
        <v>192</v>
      </c>
      <c r="F6" s="163" t="s">
        <v>193</v>
      </c>
      <c r="G6" s="163" t="s">
        <v>192</v>
      </c>
      <c r="H6" s="163" t="s">
        <v>193</v>
      </c>
      <c r="P6"/>
      <c r="R6" s="10"/>
    </row>
    <row r="7" spans="1:26" ht="15.75" thickBot="1" x14ac:dyDescent="0.3">
      <c r="A7" s="195" t="s">
        <v>267</v>
      </c>
      <c r="B7" s="196">
        <v>1</v>
      </c>
      <c r="C7" s="197">
        <f>'1A'!B12</f>
        <v>13.78</v>
      </c>
      <c r="D7" s="198" t="s">
        <v>57</v>
      </c>
      <c r="E7" s="199">
        <f t="shared" ref="E7:E12" si="0">W19-B19</f>
        <v>-257</v>
      </c>
      <c r="F7" s="200">
        <f t="shared" ref="F7:F12" si="1">W29</f>
        <v>-0.22328410078192876</v>
      </c>
      <c r="G7" s="201">
        <f t="shared" ref="G7:G12" si="2">S38-B38</f>
        <v>6.06</v>
      </c>
      <c r="H7" s="202">
        <f t="shared" ref="H7:H12" si="3">S48</f>
        <v>0.78497409326424872</v>
      </c>
      <c r="P7"/>
      <c r="R7" s="10"/>
    </row>
    <row r="8" spans="1:26" ht="15.75" thickTop="1" x14ac:dyDescent="0.25">
      <c r="A8" s="178" t="s">
        <v>196</v>
      </c>
      <c r="B8" s="164">
        <v>0.95</v>
      </c>
      <c r="C8" s="185">
        <f>S39</f>
        <v>17.27</v>
      </c>
      <c r="D8" s="187">
        <f>C8-C7</f>
        <v>3.49</v>
      </c>
      <c r="E8" s="174">
        <f t="shared" si="0"/>
        <v>3</v>
      </c>
      <c r="F8" s="173">
        <f t="shared" si="1"/>
        <v>1.8867924528301886E-2</v>
      </c>
      <c r="G8" s="175">
        <f t="shared" si="2"/>
        <v>1.5199999999999996</v>
      </c>
      <c r="H8" s="177">
        <f t="shared" si="3"/>
        <v>9.6507936507936487E-2</v>
      </c>
      <c r="P8"/>
      <c r="R8" s="10"/>
    </row>
    <row r="9" spans="1:26" x14ac:dyDescent="0.25">
      <c r="A9" s="178" t="s">
        <v>268</v>
      </c>
      <c r="B9" s="164">
        <v>0.95</v>
      </c>
      <c r="C9" s="185">
        <f t="shared" ref="C9:C12" si="4">S40</f>
        <v>14.35</v>
      </c>
      <c r="D9" s="217">
        <f>C9-C7</f>
        <v>0.57000000000000028</v>
      </c>
      <c r="E9" s="174">
        <f t="shared" si="0"/>
        <v>24</v>
      </c>
      <c r="F9" s="173">
        <f t="shared" si="1"/>
        <v>0.31168831168831168</v>
      </c>
      <c r="G9" s="175">
        <f t="shared" si="2"/>
        <v>-0.39000000000000057</v>
      </c>
      <c r="H9" s="177">
        <f t="shared" si="3"/>
        <v>-2.6458616010854856E-2</v>
      </c>
      <c r="P9"/>
      <c r="R9" s="10"/>
    </row>
    <row r="10" spans="1:26" x14ac:dyDescent="0.25">
      <c r="A10" s="178" t="s">
        <v>195</v>
      </c>
      <c r="B10" s="164">
        <v>0.94</v>
      </c>
      <c r="C10" s="185">
        <f t="shared" si="4"/>
        <v>28.64</v>
      </c>
      <c r="D10" s="187">
        <f>C10-C7</f>
        <v>14.860000000000001</v>
      </c>
      <c r="E10" s="174">
        <f t="shared" si="0"/>
        <v>-45</v>
      </c>
      <c r="F10" s="173">
        <f t="shared" si="1"/>
        <v>-0.46875</v>
      </c>
      <c r="G10" s="175">
        <f t="shared" si="2"/>
        <v>5.2899999999999991</v>
      </c>
      <c r="H10" s="177">
        <f t="shared" si="3"/>
        <v>0.22655246252676656</v>
      </c>
      <c r="P10"/>
      <c r="R10" s="10"/>
    </row>
    <row r="11" spans="1:26" x14ac:dyDescent="0.25">
      <c r="A11" s="178" t="s">
        <v>269</v>
      </c>
      <c r="B11" s="164">
        <v>0.92</v>
      </c>
      <c r="C11" s="185">
        <f t="shared" si="4"/>
        <v>17.940000000000001</v>
      </c>
      <c r="D11" s="187">
        <f>C11-C7</f>
        <v>4.1600000000000019</v>
      </c>
      <c r="E11" s="174">
        <f t="shared" si="0"/>
        <v>-580</v>
      </c>
      <c r="F11" s="173">
        <f t="shared" si="1"/>
        <v>-0.30082987551867219</v>
      </c>
      <c r="G11" s="175">
        <f t="shared" si="2"/>
        <v>4.8400000000000016</v>
      </c>
      <c r="H11" s="177">
        <f t="shared" si="3"/>
        <v>0.36946564885496197</v>
      </c>
      <c r="P11"/>
      <c r="R11" s="10"/>
    </row>
    <row r="12" spans="1:26" ht="15.75" thickBot="1" x14ac:dyDescent="0.3">
      <c r="A12" s="179" t="s">
        <v>270</v>
      </c>
      <c r="B12" s="180">
        <v>0.92</v>
      </c>
      <c r="C12" s="186">
        <f t="shared" si="4"/>
        <v>16.77</v>
      </c>
      <c r="D12" s="188">
        <f>C12-C7</f>
        <v>2.99</v>
      </c>
      <c r="E12" s="181">
        <f t="shared" si="0"/>
        <v>238</v>
      </c>
      <c r="F12" s="182">
        <f t="shared" si="1"/>
        <v>0.21193232413178986</v>
      </c>
      <c r="G12" s="183">
        <f t="shared" si="2"/>
        <v>3.74</v>
      </c>
      <c r="H12" s="184">
        <f t="shared" si="3"/>
        <v>0.28702993092862628</v>
      </c>
      <c r="P12"/>
      <c r="R12" s="10"/>
    </row>
    <row r="13" spans="1:26" x14ac:dyDescent="0.25">
      <c r="A13" s="1"/>
      <c r="B13" s="35"/>
      <c r="C13" s="36"/>
      <c r="D13" s="36"/>
      <c r="G13" s="215">
        <f>G10-G7</f>
        <v>-0.77000000000000046</v>
      </c>
    </row>
    <row r="14" spans="1:26" x14ac:dyDescent="0.25">
      <c r="G14" s="215"/>
    </row>
    <row r="17" spans="1:26" ht="15.75" x14ac:dyDescent="0.25">
      <c r="A17" s="315" t="s">
        <v>271</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267</v>
      </c>
      <c r="B19" s="166">
        <v>1151</v>
      </c>
      <c r="C19" s="166">
        <v>1186</v>
      </c>
      <c r="D19" s="166">
        <v>1177</v>
      </c>
      <c r="E19" s="166">
        <v>1152</v>
      </c>
      <c r="F19" s="166">
        <v>1153</v>
      </c>
      <c r="G19" s="166">
        <v>1141</v>
      </c>
      <c r="H19" s="166">
        <v>1175</v>
      </c>
      <c r="I19" s="166">
        <v>1208</v>
      </c>
      <c r="J19" s="166">
        <v>1240</v>
      </c>
      <c r="K19" s="166">
        <v>1234</v>
      </c>
      <c r="L19" s="166">
        <v>1212</v>
      </c>
      <c r="M19" s="166">
        <v>1165</v>
      </c>
      <c r="N19" s="166">
        <v>1167</v>
      </c>
      <c r="O19" s="166">
        <v>1159</v>
      </c>
      <c r="P19" s="166">
        <v>1093</v>
      </c>
      <c r="Q19" s="166">
        <v>1058</v>
      </c>
      <c r="R19" s="166">
        <v>1058</v>
      </c>
      <c r="S19" s="166">
        <v>1047</v>
      </c>
      <c r="T19" s="166">
        <v>1013</v>
      </c>
      <c r="U19" s="166">
        <v>945</v>
      </c>
      <c r="V19" s="166">
        <v>867</v>
      </c>
      <c r="W19" s="166">
        <v>894</v>
      </c>
    </row>
    <row r="20" spans="1:26" ht="15.75" thickTop="1" x14ac:dyDescent="0.25">
      <c r="A20" s="143" t="s">
        <v>196</v>
      </c>
      <c r="B20" s="144">
        <v>159</v>
      </c>
      <c r="C20" s="144">
        <v>165</v>
      </c>
      <c r="D20" s="144">
        <v>176</v>
      </c>
      <c r="E20" s="144">
        <v>176</v>
      </c>
      <c r="F20" s="144">
        <v>193</v>
      </c>
      <c r="G20" s="144">
        <v>194</v>
      </c>
      <c r="H20" s="144">
        <v>179</v>
      </c>
      <c r="I20" s="144">
        <v>173</v>
      </c>
      <c r="J20" s="144">
        <v>174</v>
      </c>
      <c r="K20" s="144">
        <v>183</v>
      </c>
      <c r="L20" s="144">
        <v>188</v>
      </c>
      <c r="M20" s="144">
        <v>191</v>
      </c>
      <c r="N20" s="144">
        <v>192</v>
      </c>
      <c r="O20" s="144">
        <v>193</v>
      </c>
      <c r="P20" s="144">
        <v>193</v>
      </c>
      <c r="Q20" s="144">
        <v>210</v>
      </c>
      <c r="R20" s="144">
        <v>223</v>
      </c>
      <c r="S20" s="144">
        <v>228</v>
      </c>
      <c r="T20" s="144">
        <v>235</v>
      </c>
      <c r="U20" s="144">
        <v>187</v>
      </c>
      <c r="V20" s="144">
        <v>154</v>
      </c>
      <c r="W20" s="144">
        <v>162</v>
      </c>
    </row>
    <row r="21" spans="1:26" x14ac:dyDescent="0.25">
      <c r="A21" s="143" t="s">
        <v>268</v>
      </c>
      <c r="B21" s="144">
        <v>77</v>
      </c>
      <c r="C21" s="144">
        <v>76</v>
      </c>
      <c r="D21" s="144">
        <v>86</v>
      </c>
      <c r="E21" s="144">
        <v>92</v>
      </c>
      <c r="F21" s="144">
        <v>96</v>
      </c>
      <c r="G21" s="144">
        <v>105</v>
      </c>
      <c r="H21" s="144">
        <v>107</v>
      </c>
      <c r="I21" s="144">
        <v>110</v>
      </c>
      <c r="J21" s="144">
        <v>98</v>
      </c>
      <c r="K21" s="144">
        <v>87</v>
      </c>
      <c r="L21" s="144">
        <v>93</v>
      </c>
      <c r="M21" s="144">
        <v>88</v>
      </c>
      <c r="N21" s="144">
        <v>86</v>
      </c>
      <c r="O21" s="144">
        <v>85</v>
      </c>
      <c r="P21" s="144">
        <v>84</v>
      </c>
      <c r="Q21" s="144">
        <v>87</v>
      </c>
      <c r="R21" s="144">
        <v>90</v>
      </c>
      <c r="S21" s="144">
        <v>99</v>
      </c>
      <c r="T21" s="144">
        <v>104</v>
      </c>
      <c r="U21" s="144">
        <v>100</v>
      </c>
      <c r="V21" s="144">
        <v>102</v>
      </c>
      <c r="W21" s="144">
        <v>101</v>
      </c>
    </row>
    <row r="22" spans="1:26" x14ac:dyDescent="0.25">
      <c r="A22" s="143" t="s">
        <v>195</v>
      </c>
      <c r="B22" s="146">
        <v>96</v>
      </c>
      <c r="C22" s="146">
        <v>98</v>
      </c>
      <c r="D22" s="146">
        <v>88</v>
      </c>
      <c r="E22" s="146">
        <v>84</v>
      </c>
      <c r="F22" s="146">
        <v>86</v>
      </c>
      <c r="G22" s="146">
        <v>51</v>
      </c>
      <c r="H22" s="146">
        <v>52</v>
      </c>
      <c r="I22" s="146">
        <v>61</v>
      </c>
      <c r="J22" s="146">
        <v>69</v>
      </c>
      <c r="K22" s="146">
        <v>75</v>
      </c>
      <c r="L22" s="146">
        <v>70</v>
      </c>
      <c r="M22" s="146">
        <v>71</v>
      </c>
      <c r="N22" s="146">
        <v>75</v>
      </c>
      <c r="O22" s="146">
        <v>79</v>
      </c>
      <c r="P22" s="146">
        <v>75</v>
      </c>
      <c r="Q22" s="146">
        <v>66</v>
      </c>
      <c r="R22" s="146">
        <v>55</v>
      </c>
      <c r="S22" s="146">
        <v>46</v>
      </c>
      <c r="T22" s="146">
        <v>49</v>
      </c>
      <c r="U22" s="146">
        <v>48</v>
      </c>
      <c r="V22" s="146">
        <v>48</v>
      </c>
      <c r="W22" s="146">
        <v>51</v>
      </c>
    </row>
    <row r="23" spans="1:26" x14ac:dyDescent="0.25">
      <c r="A23" s="178" t="s">
        <v>269</v>
      </c>
      <c r="B23" s="146">
        <v>1928</v>
      </c>
      <c r="C23" s="146">
        <v>1962</v>
      </c>
      <c r="D23" s="146">
        <v>2002</v>
      </c>
      <c r="E23" s="146">
        <v>2027</v>
      </c>
      <c r="F23" s="146">
        <v>2078</v>
      </c>
      <c r="G23" s="146">
        <v>2006</v>
      </c>
      <c r="H23" s="146">
        <v>1923</v>
      </c>
      <c r="I23" s="146">
        <v>1891</v>
      </c>
      <c r="J23" s="146">
        <v>1833</v>
      </c>
      <c r="K23" s="146">
        <v>1939</v>
      </c>
      <c r="L23" s="146">
        <v>1999</v>
      </c>
      <c r="M23" s="146">
        <v>2108</v>
      </c>
      <c r="N23" s="146">
        <v>2127</v>
      </c>
      <c r="O23" s="146">
        <v>2154</v>
      </c>
      <c r="P23" s="146">
        <v>2168</v>
      </c>
      <c r="Q23" s="146">
        <v>2164</v>
      </c>
      <c r="R23" s="146">
        <v>2032</v>
      </c>
      <c r="S23" s="146">
        <v>1862</v>
      </c>
      <c r="T23" s="146">
        <v>1602</v>
      </c>
      <c r="U23" s="146">
        <v>1405</v>
      </c>
      <c r="V23" s="146">
        <v>1363</v>
      </c>
      <c r="W23" s="146">
        <v>1348</v>
      </c>
    </row>
    <row r="24" spans="1:26" x14ac:dyDescent="0.25">
      <c r="A24" s="143" t="s">
        <v>270</v>
      </c>
      <c r="B24" s="146">
        <v>1123</v>
      </c>
      <c r="C24" s="146">
        <v>1126</v>
      </c>
      <c r="D24" s="146">
        <v>1155</v>
      </c>
      <c r="E24" s="146">
        <v>1168</v>
      </c>
      <c r="F24" s="146">
        <v>1176</v>
      </c>
      <c r="G24" s="146">
        <v>1217</v>
      </c>
      <c r="H24" s="146">
        <v>1209</v>
      </c>
      <c r="I24" s="146">
        <v>1193</v>
      </c>
      <c r="J24" s="146">
        <v>1117</v>
      </c>
      <c r="K24" s="146">
        <v>1184</v>
      </c>
      <c r="L24" s="146">
        <v>1211</v>
      </c>
      <c r="M24" s="146">
        <v>1287</v>
      </c>
      <c r="N24" s="146">
        <v>1308</v>
      </c>
      <c r="O24" s="146">
        <v>1320</v>
      </c>
      <c r="P24" s="146">
        <v>1277</v>
      </c>
      <c r="Q24" s="146">
        <v>1297</v>
      </c>
      <c r="R24" s="146">
        <v>1284</v>
      </c>
      <c r="S24" s="146">
        <v>1334</v>
      </c>
      <c r="T24" s="146">
        <v>1387</v>
      </c>
      <c r="U24" s="146">
        <v>1373</v>
      </c>
      <c r="V24" s="146">
        <v>1399</v>
      </c>
      <c r="W24" s="146">
        <v>1361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272</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267</v>
      </c>
      <c r="B29" s="167">
        <f t="shared" ref="B29:B34" si="5">(B19-B19)/B19</f>
        <v>0</v>
      </c>
      <c r="C29" s="167">
        <f t="shared" ref="C29:C34" si="6">(C19-B19)/B19</f>
        <v>3.0408340573414423E-2</v>
      </c>
      <c r="D29" s="167">
        <f t="shared" ref="D29:D34" si="7">(D19-B19)/B19</f>
        <v>2.2589052997393572E-2</v>
      </c>
      <c r="E29" s="167">
        <f t="shared" ref="E29:E34" si="8">(E19-B19)/B19</f>
        <v>8.6880973066898344E-4</v>
      </c>
      <c r="F29" s="167">
        <f t="shared" ref="F29:F34" si="9">(F19-B19)/B19</f>
        <v>1.7376194613379669E-3</v>
      </c>
      <c r="G29" s="167">
        <f t="shared" ref="G29:G34" si="10">(G19-B19)/B19</f>
        <v>-8.6880973066898355E-3</v>
      </c>
      <c r="H29" s="167">
        <f t="shared" ref="H29:H34" si="11">(H19-B19)/B19</f>
        <v>2.0851433536055605E-2</v>
      </c>
      <c r="I29" s="167">
        <f t="shared" ref="I29:I34" si="12">(I19-B19)/B19</f>
        <v>4.9522154648132061E-2</v>
      </c>
      <c r="J29" s="167">
        <f t="shared" ref="J29:J34" si="13">(J19-B19)/B19</f>
        <v>7.7324066029539534E-2</v>
      </c>
      <c r="K29" s="167">
        <f t="shared" ref="K29:K34" si="14">(K19-B19)/B19</f>
        <v>7.211120764552563E-2</v>
      </c>
      <c r="L29" s="167">
        <f t="shared" ref="L29:L34" si="15">(L19-B19)/B19</f>
        <v>5.2997393570807995E-2</v>
      </c>
      <c r="M29" s="167">
        <f t="shared" ref="M29:M34" si="16">(M19-B19)/B19</f>
        <v>1.216333622936577E-2</v>
      </c>
      <c r="N29" s="167">
        <f t="shared" ref="N29:N34" si="17">(N19-B19)/B19</f>
        <v>1.3900955690703735E-2</v>
      </c>
      <c r="O29" s="167">
        <f t="shared" ref="O29:O34" si="18">(O19-B19)/B19</f>
        <v>6.9504778453518675E-3</v>
      </c>
      <c r="P29" s="167">
        <f t="shared" ref="P29:P34" si="19">(P19-B19)/B19</f>
        <v>-5.0390964378801043E-2</v>
      </c>
      <c r="Q29" s="167">
        <f t="shared" ref="Q29:Q34" si="20">(Q19-B19)/B19</f>
        <v>-8.0799304952215462E-2</v>
      </c>
      <c r="R29" s="167">
        <f t="shared" ref="R29:R34" si="21">(R19-B19)/B19</f>
        <v>-8.0799304952215462E-2</v>
      </c>
      <c r="S29" s="167">
        <f t="shared" ref="S29:S34" si="22">(S19-B19)/B19</f>
        <v>-9.0356211989574289E-2</v>
      </c>
      <c r="T29" s="167">
        <f t="shared" ref="T29:T34" si="23">(T19-B19)/B19</f>
        <v>-0.11989574283231973</v>
      </c>
      <c r="U29" s="167">
        <f t="shared" ref="U29:U34" si="24">(U19-B19)/B19</f>
        <v>-0.17897480451781059</v>
      </c>
      <c r="V29" s="167">
        <f t="shared" ref="V29:V34" si="25">(V19-B19)/B19</f>
        <v>-0.24674196350999131</v>
      </c>
      <c r="W29" s="167">
        <f t="shared" ref="W29:W34" si="26">(W19-B19)/B19</f>
        <v>-0.22328410078192876</v>
      </c>
      <c r="Y29" t="s">
        <v>268</v>
      </c>
      <c r="Z29" s="214">
        <v>-0.39000000000000057</v>
      </c>
    </row>
    <row r="30" spans="1:26" ht="15.75" thickTop="1" x14ac:dyDescent="0.25">
      <c r="A30" s="143" t="s">
        <v>196</v>
      </c>
      <c r="B30" s="147">
        <f t="shared" si="5"/>
        <v>0</v>
      </c>
      <c r="C30" s="147">
        <f t="shared" si="6"/>
        <v>3.7735849056603772E-2</v>
      </c>
      <c r="D30" s="147">
        <f t="shared" si="7"/>
        <v>0.1069182389937107</v>
      </c>
      <c r="E30" s="147">
        <f t="shared" si="8"/>
        <v>0.1069182389937107</v>
      </c>
      <c r="F30" s="147">
        <f t="shared" si="9"/>
        <v>0.21383647798742139</v>
      </c>
      <c r="G30" s="147">
        <f t="shared" si="10"/>
        <v>0.22012578616352202</v>
      </c>
      <c r="H30" s="147">
        <f t="shared" si="11"/>
        <v>0.12578616352201258</v>
      </c>
      <c r="I30" s="147">
        <f t="shared" si="12"/>
        <v>8.8050314465408799E-2</v>
      </c>
      <c r="J30" s="147">
        <f t="shared" si="13"/>
        <v>9.4339622641509441E-2</v>
      </c>
      <c r="K30" s="147">
        <f t="shared" si="14"/>
        <v>0.15094339622641509</v>
      </c>
      <c r="L30" s="147">
        <f t="shared" si="15"/>
        <v>0.18238993710691823</v>
      </c>
      <c r="M30" s="147">
        <f t="shared" si="16"/>
        <v>0.20125786163522014</v>
      </c>
      <c r="N30" s="147">
        <f t="shared" si="17"/>
        <v>0.20754716981132076</v>
      </c>
      <c r="O30" s="147">
        <f t="shared" si="18"/>
        <v>0.21383647798742139</v>
      </c>
      <c r="P30" s="147">
        <f t="shared" si="19"/>
        <v>0.21383647798742139</v>
      </c>
      <c r="Q30" s="147">
        <f t="shared" si="20"/>
        <v>0.32075471698113206</v>
      </c>
      <c r="R30" s="147">
        <f t="shared" si="21"/>
        <v>0.40251572327044027</v>
      </c>
      <c r="S30" s="147">
        <f t="shared" si="22"/>
        <v>0.43396226415094341</v>
      </c>
      <c r="T30" s="147">
        <f t="shared" si="23"/>
        <v>0.4779874213836478</v>
      </c>
      <c r="U30" s="147">
        <f t="shared" si="24"/>
        <v>0.1761006289308176</v>
      </c>
      <c r="V30" s="147">
        <f t="shared" si="25"/>
        <v>-3.1446540880503145E-2</v>
      </c>
      <c r="W30" s="147">
        <f t="shared" si="26"/>
        <v>1.8867924528301886E-2</v>
      </c>
      <c r="Y30" t="s">
        <v>196</v>
      </c>
      <c r="Z30" s="214">
        <v>1.5199999999999996</v>
      </c>
    </row>
    <row r="31" spans="1:26" x14ac:dyDescent="0.25">
      <c r="A31" s="143" t="s">
        <v>268</v>
      </c>
      <c r="B31" s="147">
        <f t="shared" si="5"/>
        <v>0</v>
      </c>
      <c r="C31" s="147">
        <f t="shared" si="6"/>
        <v>-1.2987012987012988E-2</v>
      </c>
      <c r="D31" s="147">
        <f t="shared" si="7"/>
        <v>0.11688311688311688</v>
      </c>
      <c r="E31" s="147">
        <f t="shared" si="8"/>
        <v>0.19480519480519481</v>
      </c>
      <c r="F31" s="147">
        <f t="shared" si="9"/>
        <v>0.24675324675324675</v>
      </c>
      <c r="G31" s="147">
        <f t="shared" si="10"/>
        <v>0.36363636363636365</v>
      </c>
      <c r="H31" s="147">
        <f t="shared" si="11"/>
        <v>0.38961038961038963</v>
      </c>
      <c r="I31" s="147">
        <f t="shared" si="12"/>
        <v>0.42857142857142855</v>
      </c>
      <c r="J31" s="147">
        <f t="shared" si="13"/>
        <v>0.27272727272727271</v>
      </c>
      <c r="K31" s="147">
        <f t="shared" si="14"/>
        <v>0.12987012987012986</v>
      </c>
      <c r="L31" s="147">
        <f t="shared" si="15"/>
        <v>0.20779220779220781</v>
      </c>
      <c r="M31" s="147">
        <f t="shared" si="16"/>
        <v>0.14285714285714285</v>
      </c>
      <c r="N31" s="147">
        <f t="shared" si="17"/>
        <v>0.11688311688311688</v>
      </c>
      <c r="O31" s="147">
        <f t="shared" si="18"/>
        <v>0.1038961038961039</v>
      </c>
      <c r="P31" s="147">
        <f t="shared" si="19"/>
        <v>9.0909090909090912E-2</v>
      </c>
      <c r="Q31" s="147">
        <f t="shared" si="20"/>
        <v>0.12987012987012986</v>
      </c>
      <c r="R31" s="147">
        <f t="shared" si="21"/>
        <v>0.16883116883116883</v>
      </c>
      <c r="S31" s="147">
        <f t="shared" si="22"/>
        <v>0.2857142857142857</v>
      </c>
      <c r="T31" s="147">
        <f t="shared" si="23"/>
        <v>0.35064935064935066</v>
      </c>
      <c r="U31" s="147">
        <f t="shared" si="24"/>
        <v>0.29870129870129869</v>
      </c>
      <c r="V31" s="147">
        <f t="shared" si="25"/>
        <v>0.32467532467532467</v>
      </c>
      <c r="W31" s="147">
        <f t="shared" si="26"/>
        <v>0.31168831168831168</v>
      </c>
      <c r="Y31" t="s">
        <v>270</v>
      </c>
      <c r="Z31" s="214">
        <v>3.74</v>
      </c>
    </row>
    <row r="32" spans="1:26" x14ac:dyDescent="0.25">
      <c r="A32" s="143" t="s">
        <v>195</v>
      </c>
      <c r="B32" s="147">
        <f t="shared" si="5"/>
        <v>0</v>
      </c>
      <c r="C32" s="147">
        <f t="shared" si="6"/>
        <v>2.0833333333333332E-2</v>
      </c>
      <c r="D32" s="147">
        <f t="shared" si="7"/>
        <v>-8.3333333333333329E-2</v>
      </c>
      <c r="E32" s="147">
        <f t="shared" si="8"/>
        <v>-0.125</v>
      </c>
      <c r="F32" s="147">
        <f t="shared" si="9"/>
        <v>-0.10416666666666667</v>
      </c>
      <c r="G32" s="147">
        <f t="shared" si="10"/>
        <v>-0.46875</v>
      </c>
      <c r="H32" s="147">
        <f t="shared" si="11"/>
        <v>-0.45833333333333331</v>
      </c>
      <c r="I32" s="147">
        <f t="shared" si="12"/>
        <v>-0.36458333333333331</v>
      </c>
      <c r="J32" s="147">
        <f t="shared" si="13"/>
        <v>-0.28125</v>
      </c>
      <c r="K32" s="147">
        <f t="shared" si="14"/>
        <v>-0.21875</v>
      </c>
      <c r="L32" s="147">
        <f t="shared" si="15"/>
        <v>-0.27083333333333331</v>
      </c>
      <c r="M32" s="147">
        <f t="shared" si="16"/>
        <v>-0.26041666666666669</v>
      </c>
      <c r="N32" s="147">
        <f t="shared" si="17"/>
        <v>-0.21875</v>
      </c>
      <c r="O32" s="147">
        <f t="shared" si="18"/>
        <v>-0.17708333333333334</v>
      </c>
      <c r="P32" s="147">
        <f t="shared" si="19"/>
        <v>-0.21875</v>
      </c>
      <c r="Q32" s="147">
        <f t="shared" si="20"/>
        <v>-0.3125</v>
      </c>
      <c r="R32" s="147">
        <f t="shared" si="21"/>
        <v>-0.42708333333333331</v>
      </c>
      <c r="S32" s="147">
        <f t="shared" si="22"/>
        <v>-0.52083333333333337</v>
      </c>
      <c r="T32" s="147">
        <f t="shared" si="23"/>
        <v>-0.48958333333333331</v>
      </c>
      <c r="U32" s="147">
        <f t="shared" si="24"/>
        <v>-0.5</v>
      </c>
      <c r="V32" s="147">
        <f t="shared" si="25"/>
        <v>-0.5</v>
      </c>
      <c r="W32" s="147">
        <f t="shared" si="26"/>
        <v>-0.46875</v>
      </c>
      <c r="Y32" t="s">
        <v>269</v>
      </c>
      <c r="Z32" s="214">
        <v>4.8400000000000016</v>
      </c>
    </row>
    <row r="33" spans="1:26" x14ac:dyDescent="0.25">
      <c r="A33" s="178" t="s">
        <v>269</v>
      </c>
      <c r="B33" s="147">
        <f t="shared" si="5"/>
        <v>0</v>
      </c>
      <c r="C33" s="147">
        <f t="shared" si="6"/>
        <v>1.7634854771784232E-2</v>
      </c>
      <c r="D33" s="147">
        <f t="shared" si="7"/>
        <v>3.8381742738589214E-2</v>
      </c>
      <c r="E33" s="147">
        <f t="shared" si="8"/>
        <v>5.1348547717842322E-2</v>
      </c>
      <c r="F33" s="147">
        <f t="shared" si="9"/>
        <v>7.7800829875518673E-2</v>
      </c>
      <c r="G33" s="147">
        <f t="shared" si="10"/>
        <v>4.0456431535269712E-2</v>
      </c>
      <c r="H33" s="147">
        <f t="shared" si="11"/>
        <v>-2.5933609958506223E-3</v>
      </c>
      <c r="I33" s="147">
        <f t="shared" si="12"/>
        <v>-1.9190871369294607E-2</v>
      </c>
      <c r="J33" s="147">
        <f t="shared" si="13"/>
        <v>-4.9273858921161824E-2</v>
      </c>
      <c r="K33" s="147">
        <f t="shared" si="14"/>
        <v>5.705394190871369E-3</v>
      </c>
      <c r="L33" s="147">
        <f t="shared" si="15"/>
        <v>3.6825726141078839E-2</v>
      </c>
      <c r="M33" s="147">
        <f t="shared" si="16"/>
        <v>9.3360995850622408E-2</v>
      </c>
      <c r="N33" s="147">
        <f t="shared" si="17"/>
        <v>0.10321576763485477</v>
      </c>
      <c r="O33" s="147">
        <f t="shared" si="18"/>
        <v>0.11721991701244813</v>
      </c>
      <c r="P33" s="147">
        <f t="shared" si="19"/>
        <v>0.12448132780082988</v>
      </c>
      <c r="Q33" s="147">
        <f t="shared" si="20"/>
        <v>0.12240663900414937</v>
      </c>
      <c r="R33" s="147">
        <f t="shared" si="21"/>
        <v>5.3941908713692949E-2</v>
      </c>
      <c r="S33" s="147">
        <f t="shared" si="22"/>
        <v>-3.4232365145228219E-2</v>
      </c>
      <c r="T33" s="147">
        <f t="shared" si="23"/>
        <v>-0.16908713692946059</v>
      </c>
      <c r="U33" s="147">
        <f t="shared" si="24"/>
        <v>-0.27126556016597508</v>
      </c>
      <c r="V33" s="147">
        <f t="shared" si="25"/>
        <v>-0.29304979253112035</v>
      </c>
      <c r="W33" s="147">
        <f t="shared" si="26"/>
        <v>-0.30082987551867219</v>
      </c>
      <c r="Y33" t="s">
        <v>195</v>
      </c>
      <c r="Z33" s="214">
        <v>5.2899999999999991</v>
      </c>
    </row>
    <row r="34" spans="1:26" x14ac:dyDescent="0.25">
      <c r="A34" s="143" t="s">
        <v>270</v>
      </c>
      <c r="B34" s="147">
        <f t="shared" si="5"/>
        <v>0</v>
      </c>
      <c r="C34" s="147">
        <f t="shared" si="6"/>
        <v>2.6714158504007124E-3</v>
      </c>
      <c r="D34" s="147">
        <f t="shared" si="7"/>
        <v>2.8495102404274265E-2</v>
      </c>
      <c r="E34" s="147">
        <f t="shared" si="8"/>
        <v>4.0071237756010687E-2</v>
      </c>
      <c r="F34" s="147">
        <f t="shared" si="9"/>
        <v>4.7195013357079249E-2</v>
      </c>
      <c r="G34" s="147">
        <f t="shared" si="10"/>
        <v>8.3704363312555652E-2</v>
      </c>
      <c r="H34" s="147">
        <f t="shared" si="11"/>
        <v>7.6580587711487083E-2</v>
      </c>
      <c r="I34" s="147">
        <f t="shared" si="12"/>
        <v>6.2333036509349952E-2</v>
      </c>
      <c r="J34" s="147">
        <f t="shared" si="13"/>
        <v>-5.3428317008014248E-3</v>
      </c>
      <c r="K34" s="147">
        <f t="shared" si="14"/>
        <v>5.4318788958147818E-2</v>
      </c>
      <c r="L34" s="147">
        <f t="shared" si="15"/>
        <v>7.8361531611754229E-2</v>
      </c>
      <c r="M34" s="147">
        <f t="shared" si="16"/>
        <v>0.14603739982190561</v>
      </c>
      <c r="N34" s="147">
        <f t="shared" si="17"/>
        <v>0.1647373107747106</v>
      </c>
      <c r="O34" s="147">
        <f t="shared" si="18"/>
        <v>0.17542297417631345</v>
      </c>
      <c r="P34" s="147">
        <f t="shared" si="19"/>
        <v>0.13713268032056991</v>
      </c>
      <c r="Q34" s="147">
        <f t="shared" si="20"/>
        <v>0.15494211932324131</v>
      </c>
      <c r="R34" s="147">
        <f t="shared" si="21"/>
        <v>0.14336598397150491</v>
      </c>
      <c r="S34" s="147">
        <f t="shared" si="22"/>
        <v>0.18788958147818344</v>
      </c>
      <c r="T34" s="147">
        <f t="shared" si="23"/>
        <v>0.2350845948352627</v>
      </c>
      <c r="U34" s="147">
        <f t="shared" si="24"/>
        <v>0.22261798753339271</v>
      </c>
      <c r="V34" s="147">
        <f t="shared" si="25"/>
        <v>0.24577025823686555</v>
      </c>
      <c r="W34" s="147">
        <f t="shared" si="26"/>
        <v>0.21193232413178986</v>
      </c>
      <c r="Y34" t="s">
        <v>267</v>
      </c>
      <c r="Z34" s="214">
        <v>6.06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273</v>
      </c>
      <c r="B36" s="315"/>
      <c r="C36" s="315"/>
      <c r="D36" s="315"/>
      <c r="E36" s="315"/>
      <c r="F36" s="315"/>
      <c r="G36" s="315"/>
      <c r="H36" s="315"/>
      <c r="I36" s="315"/>
      <c r="J36" s="315"/>
      <c r="K36" s="315"/>
      <c r="L36" s="315"/>
      <c r="M36" s="315"/>
      <c r="N36" s="315"/>
      <c r="O36" s="315"/>
      <c r="P36" s="315"/>
      <c r="Q36" s="315"/>
      <c r="R36" s="315"/>
      <c r="S36" s="315"/>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267</v>
      </c>
      <c r="B38" s="168">
        <v>7.72</v>
      </c>
      <c r="C38" s="168">
        <v>10.78</v>
      </c>
      <c r="D38" s="168">
        <v>10.79</v>
      </c>
      <c r="E38" s="168">
        <v>10.95</v>
      </c>
      <c r="F38" s="168">
        <v>10.54</v>
      </c>
      <c r="G38" s="168">
        <v>10.63</v>
      </c>
      <c r="H38" s="168">
        <v>10.95</v>
      </c>
      <c r="I38" s="168">
        <v>10.85</v>
      </c>
      <c r="J38" s="168">
        <v>10.56</v>
      </c>
      <c r="K38" s="168">
        <v>10.32</v>
      </c>
      <c r="L38" s="168">
        <v>10.77</v>
      </c>
      <c r="M38" s="168">
        <v>11.22</v>
      </c>
      <c r="N38" s="168">
        <v>11.64</v>
      </c>
      <c r="O38" s="168">
        <v>12.12</v>
      </c>
      <c r="P38" s="168">
        <v>12.52</v>
      </c>
      <c r="Q38" s="168">
        <v>12.56</v>
      </c>
      <c r="R38" s="168">
        <v>13.42</v>
      </c>
      <c r="S38" s="169">
        <v>13.78</v>
      </c>
      <c r="T38" s="214">
        <f>S38-(B38*1.4985)</f>
        <v>2.2115799999999997</v>
      </c>
      <c r="U38" s="220">
        <f>T38/B38</f>
        <v>0.28647409326424866</v>
      </c>
    </row>
    <row r="39" spans="1:26" ht="15.75" thickTop="1" x14ac:dyDescent="0.25">
      <c r="A39" s="143" t="s">
        <v>196</v>
      </c>
      <c r="B39" s="150">
        <v>15.75</v>
      </c>
      <c r="C39" s="150">
        <v>14.33</v>
      </c>
      <c r="D39" s="150">
        <v>14.46</v>
      </c>
      <c r="E39" s="150">
        <v>13.94</v>
      </c>
      <c r="F39" s="150">
        <v>15.76</v>
      </c>
      <c r="G39" s="150">
        <v>14.06</v>
      </c>
      <c r="H39" s="150">
        <v>15.39</v>
      </c>
      <c r="I39" s="150">
        <v>11.21</v>
      </c>
      <c r="J39" s="150">
        <v>11.85</v>
      </c>
      <c r="K39" s="150">
        <v>12.17</v>
      </c>
      <c r="L39" s="150">
        <v>15.07</v>
      </c>
      <c r="M39" s="150">
        <v>21.18</v>
      </c>
      <c r="N39" s="150">
        <v>12.22</v>
      </c>
      <c r="O39" s="150">
        <v>12.27</v>
      </c>
      <c r="P39" s="150">
        <v>11.18</v>
      </c>
      <c r="Q39" s="150">
        <v>13.08</v>
      </c>
      <c r="R39" s="150">
        <v>17.54</v>
      </c>
      <c r="S39" s="151">
        <v>17.27</v>
      </c>
      <c r="T39" s="214">
        <f t="shared" ref="T39:T43" si="27">S39-(B39*1.4985)</f>
        <v>-6.3313749999999978</v>
      </c>
      <c r="U39" s="220">
        <f>T39/B39</f>
        <v>-0.40199206349206335</v>
      </c>
    </row>
    <row r="40" spans="1:26" x14ac:dyDescent="0.25">
      <c r="A40" s="143" t="s">
        <v>268</v>
      </c>
      <c r="B40" s="150">
        <v>14.74</v>
      </c>
      <c r="C40" s="150">
        <v>16.760000000000002</v>
      </c>
      <c r="D40" s="150">
        <v>16.059999999999999</v>
      </c>
      <c r="E40" s="150">
        <v>20.84</v>
      </c>
      <c r="F40" s="150">
        <v>18.25</v>
      </c>
      <c r="G40" s="150">
        <v>16.46</v>
      </c>
      <c r="H40" s="150">
        <v>15.65</v>
      </c>
      <c r="I40" s="150">
        <v>23.58</v>
      </c>
      <c r="J40" s="150">
        <v>21.99</v>
      </c>
      <c r="K40" s="150">
        <v>20.83</v>
      </c>
      <c r="L40" s="150">
        <v>21.25</v>
      </c>
      <c r="M40" s="150">
        <v>22.19</v>
      </c>
      <c r="N40" s="150">
        <v>26.48</v>
      </c>
      <c r="O40" s="150">
        <v>33.409999999999997</v>
      </c>
      <c r="P40" s="150">
        <v>30.16</v>
      </c>
      <c r="Q40" s="150">
        <v>21.91</v>
      </c>
      <c r="R40" s="150">
        <v>14.16</v>
      </c>
      <c r="S40" s="151">
        <v>14.35</v>
      </c>
      <c r="T40" s="214">
        <f t="shared" si="27"/>
        <v>-7.7378899999999984</v>
      </c>
      <c r="U40" s="220">
        <f>T40/B40</f>
        <v>-0.5249586160108547</v>
      </c>
    </row>
    <row r="41" spans="1:26" x14ac:dyDescent="0.25">
      <c r="A41" s="143" t="s">
        <v>195</v>
      </c>
      <c r="B41" s="150">
        <v>23.35</v>
      </c>
      <c r="C41" s="150">
        <v>22.2</v>
      </c>
      <c r="D41" s="150">
        <v>21.39</v>
      </c>
      <c r="E41" s="150">
        <v>23.45</v>
      </c>
      <c r="F41" s="150">
        <v>19.2</v>
      </c>
      <c r="G41" s="150">
        <v>20.46</v>
      </c>
      <c r="H41" s="150">
        <v>24.26</v>
      </c>
      <c r="I41" s="150">
        <v>23.65</v>
      </c>
      <c r="J41" s="150">
        <v>22.15</v>
      </c>
      <c r="K41" s="150">
        <v>21.79</v>
      </c>
      <c r="L41" s="150">
        <v>21.58</v>
      </c>
      <c r="M41" s="150">
        <v>22.25</v>
      </c>
      <c r="N41" s="150">
        <v>22.23</v>
      </c>
      <c r="O41" s="150">
        <v>24.16</v>
      </c>
      <c r="P41" s="150">
        <v>32.729999999999997</v>
      </c>
      <c r="Q41" s="150">
        <v>29.26</v>
      </c>
      <c r="R41" s="150">
        <v>28.37</v>
      </c>
      <c r="S41" s="151">
        <v>28.64</v>
      </c>
      <c r="T41" s="214">
        <f t="shared" si="27"/>
        <v>-6.3499750000000006</v>
      </c>
      <c r="U41" s="220">
        <f t="shared" ref="U41:U43" si="28">T41/B41</f>
        <v>-0.27194753747323341</v>
      </c>
    </row>
    <row r="42" spans="1:26" x14ac:dyDescent="0.25">
      <c r="A42" s="178" t="s">
        <v>269</v>
      </c>
      <c r="B42" s="152">
        <v>13.1</v>
      </c>
      <c r="C42" s="152">
        <v>12</v>
      </c>
      <c r="D42" s="152">
        <v>11.79</v>
      </c>
      <c r="E42" s="152">
        <v>11.82</v>
      </c>
      <c r="F42" s="152">
        <v>12.65</v>
      </c>
      <c r="G42" s="152">
        <v>13.83</v>
      </c>
      <c r="H42" s="152">
        <v>13.98</v>
      </c>
      <c r="I42" s="152">
        <v>14.58</v>
      </c>
      <c r="J42" s="152">
        <v>14.33</v>
      </c>
      <c r="K42" s="152">
        <v>14.54</v>
      </c>
      <c r="L42" s="152">
        <v>14.08</v>
      </c>
      <c r="M42" s="152">
        <v>14.96</v>
      </c>
      <c r="N42" s="152">
        <v>14.85</v>
      </c>
      <c r="O42" s="152">
        <v>15.4</v>
      </c>
      <c r="P42" s="152">
        <v>15.78</v>
      </c>
      <c r="Q42" s="152">
        <v>15.56</v>
      </c>
      <c r="R42" s="152">
        <v>17.350000000000001</v>
      </c>
      <c r="S42" s="153">
        <v>17.940000000000001</v>
      </c>
      <c r="T42" s="214">
        <f t="shared" si="27"/>
        <v>-1.6903499999999987</v>
      </c>
      <c r="U42" s="220">
        <f t="shared" si="28"/>
        <v>-0.12903435114503808</v>
      </c>
    </row>
    <row r="43" spans="1:26" x14ac:dyDescent="0.25">
      <c r="A43" s="143" t="s">
        <v>270</v>
      </c>
      <c r="B43" s="152">
        <v>13.03</v>
      </c>
      <c r="C43" s="152">
        <v>11.78</v>
      </c>
      <c r="D43" s="152">
        <v>11.9</v>
      </c>
      <c r="E43" s="152">
        <v>11.68</v>
      </c>
      <c r="F43" s="152">
        <v>11.95</v>
      </c>
      <c r="G43" s="152">
        <v>12.32</v>
      </c>
      <c r="H43" s="152">
        <v>13.71</v>
      </c>
      <c r="I43" s="152">
        <v>11.85</v>
      </c>
      <c r="J43" s="152">
        <v>12.2</v>
      </c>
      <c r="K43" s="152">
        <v>11.78</v>
      </c>
      <c r="L43" s="152">
        <v>12.78</v>
      </c>
      <c r="M43" s="152">
        <v>12.97</v>
      </c>
      <c r="N43" s="152">
        <v>14.43</v>
      </c>
      <c r="O43" s="152">
        <v>15.3</v>
      </c>
      <c r="P43" s="152">
        <v>15.37</v>
      </c>
      <c r="Q43" s="152">
        <v>15.48</v>
      </c>
      <c r="R43" s="152">
        <v>14.7</v>
      </c>
      <c r="S43" s="153">
        <v>16.77</v>
      </c>
      <c r="T43" s="214">
        <f t="shared" si="27"/>
        <v>-2.7554549999999978</v>
      </c>
      <c r="U43" s="220">
        <f t="shared" si="28"/>
        <v>-0.21147006907137358</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274</v>
      </c>
      <c r="B46" s="315"/>
      <c r="C46" s="315"/>
      <c r="D46" s="315"/>
      <c r="E46" s="315"/>
      <c r="F46" s="315"/>
      <c r="G46" s="315"/>
      <c r="H46" s="315"/>
      <c r="I46" s="315"/>
      <c r="J46" s="315"/>
      <c r="K46" s="315"/>
      <c r="L46" s="315"/>
      <c r="M46" s="315"/>
      <c r="N46" s="315"/>
      <c r="O46" s="315"/>
      <c r="P46" s="315"/>
      <c r="Q46" s="315"/>
      <c r="R46" s="315"/>
      <c r="S46" s="315"/>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267</v>
      </c>
      <c r="B48" s="167">
        <f>(B38-B38)/B38</f>
        <v>0</v>
      </c>
      <c r="C48" s="167">
        <f>(C38-B38)/B38</f>
        <v>0.39637305699481862</v>
      </c>
      <c r="D48" s="167">
        <f>(D38-B38)/B38</f>
        <v>0.39766839378238333</v>
      </c>
      <c r="E48" s="167">
        <f>(E38-B38)/B38</f>
        <v>0.41839378238341962</v>
      </c>
      <c r="F48" s="167">
        <f>(F38-B38)/B38</f>
        <v>0.36528497409326416</v>
      </c>
      <c r="G48" s="167">
        <f>(G38-B38)/B38</f>
        <v>0.37694300518134727</v>
      </c>
      <c r="H48" s="167">
        <f>(H38-B38)/B38</f>
        <v>0.41839378238341962</v>
      </c>
      <c r="I48" s="167">
        <f>(I38-B38)/B38</f>
        <v>0.40544041450777202</v>
      </c>
      <c r="J48" s="167">
        <f>(J38-B38)/B38</f>
        <v>0.36787564766839387</v>
      </c>
      <c r="K48" s="167">
        <f>(K38-B38)/B38</f>
        <v>0.33678756476683946</v>
      </c>
      <c r="L48" s="167">
        <f>(L38-B38)/B38</f>
        <v>0.3950777202072539</v>
      </c>
      <c r="M48" s="167">
        <f>(M38-B38)/B38</f>
        <v>0.45336787564766851</v>
      </c>
      <c r="N48" s="167">
        <f>(N38-B38)/B38</f>
        <v>0.50777202072538874</v>
      </c>
      <c r="O48" s="167">
        <f>(O38-B38)/B38</f>
        <v>0.56994818652849732</v>
      </c>
      <c r="P48" s="167">
        <f>(P38-B38)/B38</f>
        <v>0.62176165803108807</v>
      </c>
      <c r="Q48" s="167">
        <f>(Q38-B38)/B38</f>
        <v>0.62694300518134727</v>
      </c>
      <c r="R48" s="167">
        <f>(R38-B38)/B38</f>
        <v>0.73834196891191717</v>
      </c>
      <c r="S48" s="167">
        <f>(S38-B38)/B38</f>
        <v>0.78497409326424872</v>
      </c>
    </row>
    <row r="49" spans="1:19" ht="15.75" thickTop="1" x14ac:dyDescent="0.25">
      <c r="A49" s="143" t="s">
        <v>196</v>
      </c>
      <c r="B49" s="147">
        <f t="shared" ref="B49:B53" si="29">(B39-B39)/B39</f>
        <v>0</v>
      </c>
      <c r="C49" s="147">
        <f t="shared" ref="C49:C53" si="30">(C39-B39)/B39</f>
        <v>-9.015873015873016E-2</v>
      </c>
      <c r="D49" s="147">
        <f t="shared" ref="D49:D53" si="31">(D39-B39)/B39</f>
        <v>-8.1904761904761855E-2</v>
      </c>
      <c r="E49" s="147">
        <f t="shared" ref="E49:E53" si="32">(E39-B39)/B39</f>
        <v>-0.11492063492063495</v>
      </c>
      <c r="F49" s="147">
        <f t="shared" ref="F49:F53" si="33">(F39-B39)/B39</f>
        <v>6.3492063492062137E-4</v>
      </c>
      <c r="G49" s="147">
        <f t="shared" ref="G49:G53" si="34">(G39-B39)/B39</f>
        <v>-0.10730158730158727</v>
      </c>
      <c r="H49" s="147">
        <f t="shared" ref="H49:H53" si="35">(H39-B39)/B39</f>
        <v>-2.2857142857142822E-2</v>
      </c>
      <c r="I49" s="147">
        <f t="shared" ref="I49:I53" si="36">(I39-B39)/B39</f>
        <v>-0.28825396825396821</v>
      </c>
      <c r="J49" s="147">
        <f t="shared" ref="J49:J53" si="37">(J39-B39)/B39</f>
        <v>-0.24761904761904766</v>
      </c>
      <c r="K49" s="147">
        <f t="shared" ref="K49:K53" si="38">(K39-B39)/B39</f>
        <v>-0.22730158730158731</v>
      </c>
      <c r="L49" s="147">
        <f t="shared" ref="L49:L53" si="39">(L39-B39)/B39</f>
        <v>-4.3174603174603157E-2</v>
      </c>
      <c r="M49" s="147">
        <f t="shared" ref="M49:M53" si="40">(M39-B39)/B39</f>
        <v>0.34476190476190477</v>
      </c>
      <c r="N49" s="147">
        <f t="shared" ref="N49:N53" si="41">(N39-B39)/B39</f>
        <v>-0.22412698412698409</v>
      </c>
      <c r="O49" s="147">
        <f t="shared" ref="O49:O53" si="42">(O39-B39)/B39</f>
        <v>-0.22095238095238098</v>
      </c>
      <c r="P49" s="147">
        <f t="shared" ref="P49:P53" si="43">(P39-B39)/B39</f>
        <v>-0.29015873015873017</v>
      </c>
      <c r="Q49" s="147">
        <f t="shared" ref="Q49:Q53" si="44">(Q39-B39)/B39</f>
        <v>-0.16952380952380952</v>
      </c>
      <c r="R49" s="147">
        <f t="shared" ref="R49:R53" si="45">(R39-B39)/B39</f>
        <v>0.1136507936507936</v>
      </c>
      <c r="S49" s="147">
        <f t="shared" ref="S49:S53" si="46">(S39-B39)/B39</f>
        <v>9.6507936507936487E-2</v>
      </c>
    </row>
    <row r="50" spans="1:19" x14ac:dyDescent="0.25">
      <c r="A50" s="143" t="s">
        <v>268</v>
      </c>
      <c r="B50" s="147">
        <f t="shared" si="29"/>
        <v>0</v>
      </c>
      <c r="C50" s="147">
        <f t="shared" si="30"/>
        <v>0.13704206241519684</v>
      </c>
      <c r="D50" s="147">
        <f t="shared" si="31"/>
        <v>8.9552238805970047E-2</v>
      </c>
      <c r="E50" s="147">
        <f t="shared" si="32"/>
        <v>0.4138398914518317</v>
      </c>
      <c r="F50" s="147">
        <f t="shared" si="33"/>
        <v>0.23812754409769332</v>
      </c>
      <c r="G50" s="147">
        <f t="shared" si="34"/>
        <v>0.11668928086838538</v>
      </c>
      <c r="H50" s="147">
        <f t="shared" si="35"/>
        <v>6.1736770691994583E-2</v>
      </c>
      <c r="I50" s="147">
        <f t="shared" si="36"/>
        <v>0.59972862957937567</v>
      </c>
      <c r="J50" s="147">
        <f t="shared" si="37"/>
        <v>0.49185888738127531</v>
      </c>
      <c r="K50" s="147">
        <f t="shared" si="38"/>
        <v>0.41316146540027121</v>
      </c>
      <c r="L50" s="147">
        <f t="shared" si="39"/>
        <v>0.44165535956580732</v>
      </c>
      <c r="M50" s="147">
        <f t="shared" si="40"/>
        <v>0.50542740841248313</v>
      </c>
      <c r="N50" s="147">
        <f t="shared" si="41"/>
        <v>0.79647218453188606</v>
      </c>
      <c r="O50" s="147">
        <f t="shared" si="42"/>
        <v>1.2666214382632288</v>
      </c>
      <c r="P50" s="147">
        <f t="shared" si="43"/>
        <v>1.0461329715061058</v>
      </c>
      <c r="Q50" s="147">
        <f t="shared" si="44"/>
        <v>0.48643147896879241</v>
      </c>
      <c r="R50" s="147">
        <f t="shared" si="45"/>
        <v>-3.9348710990502037E-2</v>
      </c>
      <c r="S50" s="147">
        <f t="shared" si="46"/>
        <v>-2.6458616010854856E-2</v>
      </c>
    </row>
    <row r="51" spans="1:19" x14ac:dyDescent="0.25">
      <c r="A51" s="143" t="s">
        <v>195</v>
      </c>
      <c r="B51" s="147">
        <f t="shared" si="29"/>
        <v>0</v>
      </c>
      <c r="C51" s="147">
        <f t="shared" si="30"/>
        <v>-4.9250535331905869E-2</v>
      </c>
      <c r="D51" s="147">
        <f t="shared" si="31"/>
        <v>-8.3940042826552499E-2</v>
      </c>
      <c r="E51" s="147">
        <f t="shared" si="32"/>
        <v>4.282655246252585E-3</v>
      </c>
      <c r="F51" s="147">
        <f t="shared" si="33"/>
        <v>-0.17773019271948617</v>
      </c>
      <c r="G51" s="147">
        <f t="shared" si="34"/>
        <v>-0.12376873661670237</v>
      </c>
      <c r="H51" s="147">
        <f t="shared" si="35"/>
        <v>3.897216274089936E-2</v>
      </c>
      <c r="I51" s="147">
        <f t="shared" si="36"/>
        <v>1.2847965738757907E-2</v>
      </c>
      <c r="J51" s="147">
        <f t="shared" si="37"/>
        <v>-5.1391862955032237E-2</v>
      </c>
      <c r="K51" s="147">
        <f t="shared" si="38"/>
        <v>-6.6809421841541844E-2</v>
      </c>
      <c r="L51" s="147">
        <f t="shared" si="39"/>
        <v>-7.5802997858672505E-2</v>
      </c>
      <c r="M51" s="147">
        <f t="shared" si="40"/>
        <v>-4.7109207708779501E-2</v>
      </c>
      <c r="N51" s="147">
        <f t="shared" si="41"/>
        <v>-4.7965738758030022E-2</v>
      </c>
      <c r="O51" s="147">
        <f t="shared" si="42"/>
        <v>3.4689507494646624E-2</v>
      </c>
      <c r="P51" s="147">
        <f t="shared" si="43"/>
        <v>0.40171306209850083</v>
      </c>
      <c r="Q51" s="147">
        <f t="shared" si="44"/>
        <v>0.25310492505353316</v>
      </c>
      <c r="R51" s="147">
        <f t="shared" si="45"/>
        <v>0.21498929336188433</v>
      </c>
      <c r="S51" s="147">
        <f t="shared" si="46"/>
        <v>0.22655246252676656</v>
      </c>
    </row>
    <row r="52" spans="1:19" x14ac:dyDescent="0.25">
      <c r="A52" s="178" t="s">
        <v>269</v>
      </c>
      <c r="B52" s="147">
        <f t="shared" si="29"/>
        <v>0</v>
      </c>
      <c r="C52" s="147">
        <f t="shared" si="30"/>
        <v>-8.3969465648854935E-2</v>
      </c>
      <c r="D52" s="147">
        <f t="shared" si="31"/>
        <v>-0.10000000000000005</v>
      </c>
      <c r="E52" s="147">
        <f t="shared" si="32"/>
        <v>-9.7709923664122095E-2</v>
      </c>
      <c r="F52" s="147">
        <f t="shared" si="33"/>
        <v>-3.4351145038167885E-2</v>
      </c>
      <c r="G52" s="147">
        <f t="shared" si="34"/>
        <v>5.572519083969469E-2</v>
      </c>
      <c r="H52" s="147">
        <f t="shared" si="35"/>
        <v>6.7175572519084029E-2</v>
      </c>
      <c r="I52" s="147">
        <f t="shared" si="36"/>
        <v>0.11297709923664126</v>
      </c>
      <c r="J52" s="147">
        <f t="shared" si="37"/>
        <v>9.3893129770992401E-2</v>
      </c>
      <c r="K52" s="147">
        <f t="shared" si="38"/>
        <v>0.10992366412213737</v>
      </c>
      <c r="L52" s="147">
        <f t="shared" si="39"/>
        <v>7.4809160305343542E-2</v>
      </c>
      <c r="M52" s="147">
        <f t="shared" si="40"/>
        <v>0.14198473282442758</v>
      </c>
      <c r="N52" s="147">
        <f t="shared" si="41"/>
        <v>0.13358778625954199</v>
      </c>
      <c r="O52" s="147">
        <f t="shared" si="42"/>
        <v>0.17557251908396954</v>
      </c>
      <c r="P52" s="147">
        <f t="shared" si="43"/>
        <v>0.20458015267175572</v>
      </c>
      <c r="Q52" s="147">
        <f t="shared" si="44"/>
        <v>0.1877862595419848</v>
      </c>
      <c r="R52" s="147">
        <f t="shared" si="45"/>
        <v>0.32442748091603069</v>
      </c>
      <c r="S52" s="147">
        <f t="shared" si="46"/>
        <v>0.36946564885496197</v>
      </c>
    </row>
    <row r="53" spans="1:19" x14ac:dyDescent="0.25">
      <c r="A53" s="143" t="s">
        <v>270</v>
      </c>
      <c r="B53" s="147">
        <f t="shared" si="29"/>
        <v>0</v>
      </c>
      <c r="C53" s="147">
        <f t="shared" si="30"/>
        <v>-9.5932463545663857E-2</v>
      </c>
      <c r="D53" s="147">
        <f t="shared" si="31"/>
        <v>-8.6722947045280052E-2</v>
      </c>
      <c r="E53" s="147">
        <f t="shared" si="32"/>
        <v>-0.10360706062931693</v>
      </c>
      <c r="F53" s="147">
        <f t="shared" si="33"/>
        <v>-8.2885648503453577E-2</v>
      </c>
      <c r="G53" s="147">
        <f t="shared" si="34"/>
        <v>-5.4489639293936999E-2</v>
      </c>
      <c r="H53" s="147">
        <f t="shared" si="35"/>
        <v>5.2187260168841253E-2</v>
      </c>
      <c r="I53" s="147">
        <f t="shared" si="36"/>
        <v>-9.0560245587106666E-2</v>
      </c>
      <c r="J53" s="147">
        <f t="shared" si="37"/>
        <v>-6.3699155794320811E-2</v>
      </c>
      <c r="K53" s="147">
        <f t="shared" si="38"/>
        <v>-9.5932463545663857E-2</v>
      </c>
      <c r="L53" s="147">
        <f t="shared" si="39"/>
        <v>-1.9186492709132773E-2</v>
      </c>
      <c r="M53" s="147">
        <f t="shared" si="40"/>
        <v>-4.6047582501917671E-3</v>
      </c>
      <c r="N53" s="147">
        <f t="shared" si="41"/>
        <v>0.10744435917114355</v>
      </c>
      <c r="O53" s="147">
        <f t="shared" si="42"/>
        <v>0.17421335379892566</v>
      </c>
      <c r="P53" s="147">
        <f t="shared" si="43"/>
        <v>0.17958557175748274</v>
      </c>
      <c r="Q53" s="147">
        <f t="shared" si="44"/>
        <v>0.18802762854950125</v>
      </c>
      <c r="R53" s="147">
        <f t="shared" si="45"/>
        <v>0.1281657712970069</v>
      </c>
      <c r="S53" s="147">
        <f t="shared" si="46"/>
        <v>0.28702993092862628</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R32" sqref="R32"/>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9" t="s">
        <v>275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3" spans="1:28" ht="15.75" x14ac:dyDescent="0.25">
      <c r="A3" s="315" t="s">
        <v>276</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223</v>
      </c>
      <c r="B5" s="144">
        <f>'3C'!B19</f>
        <v>1151</v>
      </c>
      <c r="C5" s="144">
        <f>'3C'!C19</f>
        <v>1186</v>
      </c>
      <c r="D5" s="144">
        <f>'3C'!D19</f>
        <v>1177</v>
      </c>
      <c r="E5" s="144">
        <f>'3C'!E19</f>
        <v>1152</v>
      </c>
      <c r="F5" s="144">
        <f>'3C'!F19</f>
        <v>1153</v>
      </c>
      <c r="G5" s="144">
        <f>'3C'!G19</f>
        <v>1141</v>
      </c>
      <c r="H5" s="144">
        <f>'3C'!H19</f>
        <v>1175</v>
      </c>
      <c r="I5" s="144">
        <f>'3C'!I19</f>
        <v>1208</v>
      </c>
      <c r="J5" s="144">
        <f>'3C'!J19</f>
        <v>1240</v>
      </c>
      <c r="K5" s="144">
        <f>'3C'!K19</f>
        <v>1234</v>
      </c>
      <c r="L5" s="144">
        <f>'3C'!L19</f>
        <v>1212</v>
      </c>
      <c r="M5" s="144">
        <f>'3C'!M19</f>
        <v>1165</v>
      </c>
      <c r="N5" s="144">
        <f>'3C'!N19</f>
        <v>1167</v>
      </c>
      <c r="O5" s="144">
        <f>'3C'!O19</f>
        <v>1159</v>
      </c>
      <c r="P5" s="144">
        <f>'3C'!P19</f>
        <v>1093</v>
      </c>
      <c r="Q5" s="144">
        <f>'3C'!Q19</f>
        <v>1058</v>
      </c>
      <c r="R5" s="144">
        <f>'3C'!R19</f>
        <v>1058</v>
      </c>
      <c r="S5" s="144">
        <f>'3C'!S19</f>
        <v>1047</v>
      </c>
      <c r="T5" s="144">
        <f>'3C'!T19</f>
        <v>1013</v>
      </c>
      <c r="U5" s="144">
        <f>'3C'!U19</f>
        <v>945</v>
      </c>
      <c r="V5" s="144">
        <f>'3C'!V19</f>
        <v>867</v>
      </c>
      <c r="W5" s="144">
        <f>'3C'!W19</f>
        <v>894</v>
      </c>
      <c r="X5" s="145"/>
    </row>
    <row r="6" spans="1:28" x14ac:dyDescent="0.2">
      <c r="A6" s="143" t="s">
        <v>224</v>
      </c>
      <c r="B6" s="144">
        <v>39175</v>
      </c>
      <c r="C6" s="144">
        <v>39517</v>
      </c>
      <c r="D6" s="144">
        <v>39036</v>
      </c>
      <c r="E6" s="144">
        <v>38515</v>
      </c>
      <c r="F6" s="144">
        <v>38152</v>
      </c>
      <c r="G6" s="144">
        <v>37570</v>
      </c>
      <c r="H6" s="144">
        <v>36910</v>
      </c>
      <c r="I6" s="144">
        <v>36369</v>
      </c>
      <c r="J6" s="144">
        <v>35963</v>
      </c>
      <c r="K6" s="144">
        <v>36337</v>
      </c>
      <c r="L6" s="144">
        <v>36405</v>
      </c>
      <c r="M6" s="144">
        <v>34590</v>
      </c>
      <c r="N6" s="144">
        <v>34140</v>
      </c>
      <c r="O6" s="144">
        <v>32859</v>
      </c>
      <c r="P6" s="144">
        <v>32993</v>
      </c>
      <c r="Q6" s="144">
        <v>32689</v>
      </c>
      <c r="R6" s="144">
        <v>32825</v>
      </c>
      <c r="S6" s="144">
        <v>33760</v>
      </c>
      <c r="T6" s="144">
        <v>33750</v>
      </c>
      <c r="U6" s="144">
        <v>30723</v>
      </c>
      <c r="V6" s="144">
        <v>29755</v>
      </c>
      <c r="W6" s="144">
        <v>31011</v>
      </c>
      <c r="X6" s="145"/>
    </row>
    <row r="7" spans="1:28" ht="15.75" x14ac:dyDescent="0.25">
      <c r="A7" s="143" t="s">
        <v>225</v>
      </c>
      <c r="B7" s="144">
        <v>417376</v>
      </c>
      <c r="C7" s="144">
        <v>431280</v>
      </c>
      <c r="D7" s="144">
        <v>437127</v>
      </c>
      <c r="E7" s="144">
        <v>438787</v>
      </c>
      <c r="F7" s="144">
        <v>443404</v>
      </c>
      <c r="G7" s="144">
        <v>460455</v>
      </c>
      <c r="H7" s="144">
        <v>481816</v>
      </c>
      <c r="I7" s="144">
        <v>490798</v>
      </c>
      <c r="J7" s="144">
        <v>481072</v>
      </c>
      <c r="K7" s="144">
        <v>462439</v>
      </c>
      <c r="L7" s="144">
        <v>432777</v>
      </c>
      <c r="M7" s="144">
        <v>461993</v>
      </c>
      <c r="N7" s="144">
        <v>437273</v>
      </c>
      <c r="O7" s="144">
        <v>439688</v>
      </c>
      <c r="P7" s="144">
        <v>455541</v>
      </c>
      <c r="Q7" s="144">
        <v>471603</v>
      </c>
      <c r="R7" s="144">
        <v>495590</v>
      </c>
      <c r="S7" s="144">
        <v>508667</v>
      </c>
      <c r="T7" s="144">
        <v>525179</v>
      </c>
      <c r="U7" s="144">
        <v>459262</v>
      </c>
      <c r="V7" s="144">
        <v>484541</v>
      </c>
      <c r="W7" s="144">
        <v>506315</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277</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223</v>
      </c>
      <c r="B12" s="170">
        <f>(B5-B5)/B5</f>
        <v>0</v>
      </c>
      <c r="C12" s="170">
        <f>(C5-B5)/B5</f>
        <v>3.0408340573414423E-2</v>
      </c>
      <c r="D12" s="170">
        <f>(D5-B5)/B5</f>
        <v>2.2589052997393572E-2</v>
      </c>
      <c r="E12" s="170">
        <f>(E5-B5)/B5</f>
        <v>8.6880973066898344E-4</v>
      </c>
      <c r="F12" s="170">
        <f>(F5-B5)/B5</f>
        <v>1.7376194613379669E-3</v>
      </c>
      <c r="G12" s="170">
        <f>(G5-B5)/B5</f>
        <v>-8.6880973066898355E-3</v>
      </c>
      <c r="H12" s="170">
        <f>(H5-B5)/B5</f>
        <v>2.0851433536055605E-2</v>
      </c>
      <c r="I12" s="170">
        <f>(I5-B5)/B5</f>
        <v>4.9522154648132061E-2</v>
      </c>
      <c r="J12" s="170">
        <f>(J5-B5)/B5</f>
        <v>7.7324066029539534E-2</v>
      </c>
      <c r="K12" s="170">
        <f>(K5-B5)/B5</f>
        <v>7.211120764552563E-2</v>
      </c>
      <c r="L12" s="170">
        <f>(L5-B5)/B5</f>
        <v>5.2997393570807995E-2</v>
      </c>
      <c r="M12" s="170">
        <f>(M5-B5)/B5</f>
        <v>1.216333622936577E-2</v>
      </c>
      <c r="N12" s="170">
        <f>(N5-B5)/B5</f>
        <v>1.3900955690703735E-2</v>
      </c>
      <c r="O12" s="170">
        <f>(O5-B5)/B5</f>
        <v>6.9504778453518675E-3</v>
      </c>
      <c r="P12" s="170">
        <f>(P5-B5)/B5</f>
        <v>-5.0390964378801043E-2</v>
      </c>
      <c r="Q12" s="170">
        <f>(Q5-B5)/B5</f>
        <v>-8.0799304952215462E-2</v>
      </c>
      <c r="R12" s="170">
        <f>(R5-B5)/B5</f>
        <v>-8.0799304952215462E-2</v>
      </c>
      <c r="S12" s="170">
        <f>(S5-B5)/B5</f>
        <v>-9.0356211989574289E-2</v>
      </c>
      <c r="T12" s="170">
        <f>(T5-B5)/B5</f>
        <v>-0.11989574283231973</v>
      </c>
      <c r="U12" s="170">
        <f>(U5-B5)/B5</f>
        <v>-0.17897480451781059</v>
      </c>
      <c r="V12" s="170">
        <f>(V5-B5)/B5</f>
        <v>-0.24674196350999131</v>
      </c>
      <c r="W12" s="170">
        <f>(W5-B5)/B5</f>
        <v>-0.22328410078192876</v>
      </c>
    </row>
    <row r="13" spans="1:28" x14ac:dyDescent="0.2">
      <c r="A13" s="143" t="s">
        <v>224</v>
      </c>
      <c r="B13" s="170">
        <f>(B6-B6)/B6</f>
        <v>0</v>
      </c>
      <c r="C13" s="170">
        <f>(C6-B6)/B6</f>
        <v>8.7300574345883855E-3</v>
      </c>
      <c r="D13" s="170">
        <f>(D6-B6)/B6</f>
        <v>-3.5481812380344607E-3</v>
      </c>
      <c r="E13" s="170">
        <f>(E6-B6)/B6</f>
        <v>-1.6847479259731971E-2</v>
      </c>
      <c r="F13" s="170">
        <f>(F6-B6)/B6</f>
        <v>-2.6113592852584556E-2</v>
      </c>
      <c r="G13" s="170">
        <f>(G6-B6)/B6</f>
        <v>-4.0970006381620933E-2</v>
      </c>
      <c r="H13" s="170">
        <f>(H6-B6)/B6</f>
        <v>-5.7817485641352903E-2</v>
      </c>
      <c r="I13" s="170">
        <f>(I6-B6)/B6</f>
        <v>-7.1627313337587747E-2</v>
      </c>
      <c r="J13" s="170">
        <f>(J6-B6)/B6</f>
        <v>-8.1991065730695603E-2</v>
      </c>
      <c r="K13" s="170">
        <f>(K6-B6)/B6</f>
        <v>-7.2444160816847486E-2</v>
      </c>
      <c r="L13" s="170">
        <f>(L6-B6)/B6</f>
        <v>-7.0708359923420547E-2</v>
      </c>
      <c r="M13" s="170">
        <f>(M6-B6)/B6</f>
        <v>-0.11703892788768347</v>
      </c>
      <c r="N13" s="170">
        <f>(N6-B6)/B6</f>
        <v>-0.12852584556477345</v>
      </c>
      <c r="O13" s="170">
        <f>(O6-B6)/B6</f>
        <v>-0.1612252712188896</v>
      </c>
      <c r="P13" s="170">
        <f>(P6-B6)/B6</f>
        <v>-0.15780472239948948</v>
      </c>
      <c r="Q13" s="170">
        <f>(Q6-B6)/B6</f>
        <v>-0.16556477345245693</v>
      </c>
      <c r="R13" s="170">
        <f>(R6-B6)/B6</f>
        <v>-0.16209317166560305</v>
      </c>
      <c r="S13" s="170">
        <f>(S6-B6)/B6</f>
        <v>-0.13822590938098278</v>
      </c>
      <c r="T13" s="170">
        <f>(T6-B6)/B6</f>
        <v>-0.13848117421825143</v>
      </c>
      <c r="U13" s="170">
        <f>(U6-B6)/B6</f>
        <v>-0.2157498404594767</v>
      </c>
      <c r="V13" s="170">
        <f>(V6-B6)/B6</f>
        <v>-0.24045947670708359</v>
      </c>
      <c r="W13" s="170">
        <f>(W6-B6)/B6</f>
        <v>-0.20839821314613913</v>
      </c>
    </row>
    <row r="14" spans="1:28" x14ac:dyDescent="0.2">
      <c r="A14" s="143" t="s">
        <v>225</v>
      </c>
      <c r="B14" s="170">
        <f>(B7-B7)/B7</f>
        <v>0</v>
      </c>
      <c r="C14" s="170">
        <f>(C7-B7)/B7</f>
        <v>3.3312888139231771E-2</v>
      </c>
      <c r="D14" s="170">
        <f>(D7-B7)/B7</f>
        <v>4.7321839300774361E-2</v>
      </c>
      <c r="E14" s="170">
        <f>(E7-B7)/B7</f>
        <v>5.1299068465843749E-2</v>
      </c>
      <c r="F14" s="170">
        <f>(F7-B7)/B7</f>
        <v>6.2361036571340948E-2</v>
      </c>
      <c r="G14" s="170">
        <f>(G7-B7)/B7</f>
        <v>0.10321388867591812</v>
      </c>
      <c r="H14" s="170">
        <f>(H7-B7)/B7</f>
        <v>0.15439316108257303</v>
      </c>
      <c r="I14" s="170">
        <f>(I7-B7)/B7</f>
        <v>0.17591332515525571</v>
      </c>
      <c r="J14" s="170">
        <f>(J7-B7)/B7</f>
        <v>0.15261059572184313</v>
      </c>
      <c r="K14" s="170">
        <f>(K7-B7)/B7</f>
        <v>0.10796739630453117</v>
      </c>
      <c r="L14" s="170">
        <f>(L7-B7)/B7</f>
        <v>3.6899582151345547E-2</v>
      </c>
      <c r="M14" s="170">
        <f>(M7-B7)/B7</f>
        <v>0.10689881545656674</v>
      </c>
      <c r="N14" s="170">
        <f>(N7-B7)/B7</f>
        <v>4.7671643793605764E-2</v>
      </c>
      <c r="O14" s="170">
        <f>(O7-B7)/B7</f>
        <v>5.3457793452426586E-2</v>
      </c>
      <c r="P14" s="170">
        <f>(P7-B7)/B7</f>
        <v>9.1440331978839218E-2</v>
      </c>
      <c r="Q14" s="170">
        <f>(Q7-B7)/B7</f>
        <v>0.1299236180326612</v>
      </c>
      <c r="R14" s="170">
        <f>(R7-B7)/B7</f>
        <v>0.18739457946791382</v>
      </c>
      <c r="S14" s="170">
        <f>(S7-B7)/B7</f>
        <v>0.21872604078816224</v>
      </c>
      <c r="T14" s="170">
        <f>(T7-B7)/B7</f>
        <v>0.25828749137468376</v>
      </c>
      <c r="U14" s="170">
        <f>(U7-B7)/B7</f>
        <v>0.10035555470367247</v>
      </c>
      <c r="V14" s="170">
        <f>(V7-B7)/B7</f>
        <v>0.16092204630836465</v>
      </c>
      <c r="W14" s="170">
        <f>(W7-B7)/B7</f>
        <v>0.21309083416391936</v>
      </c>
    </row>
    <row r="16" spans="1:28" ht="15.75" x14ac:dyDescent="0.25">
      <c r="A16" s="315" t="s">
        <v>278</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223</v>
      </c>
      <c r="B18" s="150">
        <f>'3C'!B38</f>
        <v>7.72</v>
      </c>
      <c r="C18" s="150">
        <f>'3C'!C38</f>
        <v>10.78</v>
      </c>
      <c r="D18" s="150">
        <f>'3C'!D38</f>
        <v>10.79</v>
      </c>
      <c r="E18" s="150">
        <f>'3C'!E38</f>
        <v>10.95</v>
      </c>
      <c r="F18" s="150">
        <f>'3C'!F38</f>
        <v>10.54</v>
      </c>
      <c r="G18" s="150">
        <f>'3C'!G38</f>
        <v>10.63</v>
      </c>
      <c r="H18" s="150">
        <f>'3C'!H38</f>
        <v>10.95</v>
      </c>
      <c r="I18" s="150">
        <f>'3C'!I38</f>
        <v>10.85</v>
      </c>
      <c r="J18" s="150">
        <f>'3C'!J38</f>
        <v>10.56</v>
      </c>
      <c r="K18" s="150">
        <f>'3C'!K38</f>
        <v>10.32</v>
      </c>
      <c r="L18" s="150">
        <f>'3C'!L38</f>
        <v>10.77</v>
      </c>
      <c r="M18" s="150">
        <f>'3C'!M38</f>
        <v>11.22</v>
      </c>
      <c r="N18" s="150">
        <f>'3C'!N38</f>
        <v>11.64</v>
      </c>
      <c r="O18" s="150">
        <f>'3C'!O38</f>
        <v>12.12</v>
      </c>
      <c r="P18" s="150">
        <f>'3C'!P38</f>
        <v>12.52</v>
      </c>
      <c r="Q18" s="150">
        <f>'3C'!Q38</f>
        <v>12.56</v>
      </c>
      <c r="R18" s="150">
        <f>'3C'!R38</f>
        <v>13.42</v>
      </c>
      <c r="S18" s="150">
        <f>'3C'!S38</f>
        <v>13.78</v>
      </c>
      <c r="T18"/>
      <c r="U18"/>
      <c r="V18"/>
      <c r="W18"/>
    </row>
    <row r="19" spans="1:23" ht="15" x14ac:dyDescent="0.25">
      <c r="A19" s="143" t="s">
        <v>224</v>
      </c>
      <c r="B19" s="150">
        <v>10.63</v>
      </c>
      <c r="C19" s="150">
        <v>11.36</v>
      </c>
      <c r="D19" s="150">
        <v>11.07</v>
      </c>
      <c r="E19" s="150">
        <v>11.1</v>
      </c>
      <c r="F19" s="150">
        <v>11.24</v>
      </c>
      <c r="G19" s="150">
        <v>11.98</v>
      </c>
      <c r="H19" s="150">
        <v>12.3</v>
      </c>
      <c r="I19" s="150">
        <v>12.27</v>
      </c>
      <c r="J19" s="150">
        <v>12.22</v>
      </c>
      <c r="K19" s="150">
        <v>11.93</v>
      </c>
      <c r="L19" s="150">
        <v>11.9</v>
      </c>
      <c r="M19" s="150">
        <v>11.95</v>
      </c>
      <c r="N19" s="150">
        <v>12.14</v>
      </c>
      <c r="O19" s="150">
        <v>12.71</v>
      </c>
      <c r="P19" s="150">
        <v>13.09</v>
      </c>
      <c r="Q19" s="150">
        <v>13.5</v>
      </c>
      <c r="R19" s="150">
        <v>13.96</v>
      </c>
      <c r="S19" s="151">
        <v>14.09</v>
      </c>
      <c r="T19"/>
      <c r="U19"/>
      <c r="V19"/>
      <c r="W19"/>
    </row>
    <row r="20" spans="1:23" ht="15" x14ac:dyDescent="0.25">
      <c r="A20" s="143" t="s">
        <v>225</v>
      </c>
      <c r="B20" s="150">
        <v>9.1469948142750006</v>
      </c>
      <c r="C20" s="150">
        <v>9.4138598378600005</v>
      </c>
      <c r="D20" s="150">
        <v>9.6571817522999996</v>
      </c>
      <c r="E20" s="150">
        <v>9.9829763805249989</v>
      </c>
      <c r="F20" s="150">
        <v>10.236425033749999</v>
      </c>
      <c r="G20" s="150">
        <v>10.586753305535002</v>
      </c>
      <c r="H20" s="150">
        <v>10.868000803305002</v>
      </c>
      <c r="I20" s="150">
        <v>11.029074677535</v>
      </c>
      <c r="J20" s="150">
        <v>11.18556834278</v>
      </c>
      <c r="K20" s="150">
        <v>11.365397242075</v>
      </c>
      <c r="L20" s="150">
        <v>11.608575985485</v>
      </c>
      <c r="M20" s="150">
        <v>11.855303834364999</v>
      </c>
      <c r="N20" s="150">
        <v>12.15442310145</v>
      </c>
      <c r="O20" s="150">
        <v>12.564287656449999</v>
      </c>
      <c r="P20" s="150">
        <v>12.98715874735</v>
      </c>
      <c r="Q20" s="150">
        <v>13.501677372250001</v>
      </c>
      <c r="R20" s="150">
        <v>13.546109894800001</v>
      </c>
      <c r="S20" s="151">
        <v>14.91118134925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279</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229</v>
      </c>
      <c r="B25" s="170">
        <f>(B18-B18)/B18</f>
        <v>0</v>
      </c>
      <c r="C25" s="170">
        <f>(C18-B18)/B18</f>
        <v>0.39637305699481862</v>
      </c>
      <c r="D25" s="170">
        <f>(D18-B18)/B18</f>
        <v>0.39766839378238333</v>
      </c>
      <c r="E25" s="170">
        <f>(E18-B18)/B18</f>
        <v>0.41839378238341962</v>
      </c>
      <c r="F25" s="170">
        <f>(F18-B18)/B18</f>
        <v>0.36528497409326416</v>
      </c>
      <c r="G25" s="170">
        <f>(G18-B18)/B18</f>
        <v>0.37694300518134727</v>
      </c>
      <c r="H25" s="170">
        <f>(H18-B18)/B18</f>
        <v>0.41839378238341962</v>
      </c>
      <c r="I25" s="170">
        <f>(I18-B18)/B18</f>
        <v>0.40544041450777202</v>
      </c>
      <c r="J25" s="170">
        <f>(J18-B18)/B18</f>
        <v>0.36787564766839387</v>
      </c>
      <c r="K25" s="170">
        <f>(K18-B18)/B18</f>
        <v>0.33678756476683946</v>
      </c>
      <c r="L25" s="170">
        <f>(L18-B18)/B18</f>
        <v>0.3950777202072539</v>
      </c>
      <c r="M25" s="170">
        <f>(M18-B18)/B18</f>
        <v>0.45336787564766851</v>
      </c>
      <c r="N25" s="170">
        <f>(N18-B18)/B18</f>
        <v>0.50777202072538874</v>
      </c>
      <c r="O25" s="170">
        <f>(O18-B18)/B18</f>
        <v>0.56994818652849732</v>
      </c>
      <c r="P25" s="170">
        <f>(P18-B18)/B18</f>
        <v>0.62176165803108807</v>
      </c>
      <c r="Q25" s="170">
        <f>(Q18-B18)/B18</f>
        <v>0.62694300518134727</v>
      </c>
      <c r="R25" s="170">
        <f>(R18-B18)/B18</f>
        <v>0.73834196891191717</v>
      </c>
      <c r="S25" s="170">
        <f>(S18-B18)/B18</f>
        <v>0.78497409326424872</v>
      </c>
      <c r="T25"/>
      <c r="U25"/>
      <c r="V25"/>
      <c r="W25"/>
    </row>
    <row r="26" spans="1:23" ht="15" x14ac:dyDescent="0.25">
      <c r="A26" s="143" t="s">
        <v>224</v>
      </c>
      <c r="B26" s="170">
        <f>(B19-B19)/B19</f>
        <v>0</v>
      </c>
      <c r="C26" s="170">
        <f>(C19-B19)/B19</f>
        <v>6.8673565380997045E-2</v>
      </c>
      <c r="D26" s="170">
        <f>(D19-B19)/B19</f>
        <v>4.139228598306674E-2</v>
      </c>
      <c r="E26" s="170">
        <f>(E19-B19)/B19</f>
        <v>4.421448730009396E-2</v>
      </c>
      <c r="F26" s="170">
        <f>(F19-B19)/B19</f>
        <v>5.7384760112887997E-2</v>
      </c>
      <c r="G26" s="170">
        <f>(G19-B19)/B19</f>
        <v>0.12699905926622762</v>
      </c>
      <c r="H26" s="170">
        <f>(H19-B19)/B19</f>
        <v>0.15710253998118531</v>
      </c>
      <c r="I26" s="170">
        <f>(I19-B19)/B19</f>
        <v>0.15428033866415791</v>
      </c>
      <c r="J26" s="170">
        <f>(J19-B19)/B19</f>
        <v>0.14957666980244588</v>
      </c>
      <c r="K26" s="170">
        <f>(K19-B19)/B19</f>
        <v>0.12229539040451541</v>
      </c>
      <c r="L26" s="170">
        <f>(L19-B19)/B19</f>
        <v>0.11947318908748819</v>
      </c>
      <c r="M26" s="170">
        <f>(M19-B19)/B19</f>
        <v>0.12417685794920022</v>
      </c>
      <c r="N26" s="170">
        <f>(N19-B19)/B19</f>
        <v>0.14205079962370645</v>
      </c>
      <c r="O26" s="170">
        <f>(O19-B19)/B19</f>
        <v>0.19567262464722482</v>
      </c>
      <c r="P26" s="170">
        <f>(P19-B19)/B19</f>
        <v>0.23142050799623695</v>
      </c>
      <c r="Q26" s="170">
        <f>(Q19-B19)/B19</f>
        <v>0.26999059266227649</v>
      </c>
      <c r="R26" s="170">
        <f>(R19-B19)/B19</f>
        <v>0.31326434619002819</v>
      </c>
      <c r="S26" s="170">
        <f>(S19-B19)/B19</f>
        <v>0.32549388523047967</v>
      </c>
      <c r="T26"/>
      <c r="U26"/>
      <c r="V26"/>
      <c r="W26"/>
    </row>
    <row r="27" spans="1:23" ht="15" x14ac:dyDescent="0.25">
      <c r="A27" s="143" t="s">
        <v>225</v>
      </c>
      <c r="B27" s="170">
        <f>(B20-B20)/B20</f>
        <v>0</v>
      </c>
      <c r="C27" s="170">
        <f>(C20-B20)/B20</f>
        <v>2.9175158508729496E-2</v>
      </c>
      <c r="D27" s="170">
        <f>(D20-B20)/B20</f>
        <v>5.5776454276413291E-2</v>
      </c>
      <c r="E27" s="170">
        <f>(E20-B20)/B20</f>
        <v>9.139412268446323E-2</v>
      </c>
      <c r="F27" s="170">
        <f>(F20-B20)/B20</f>
        <v>0.11910252947501507</v>
      </c>
      <c r="G27" s="170">
        <f>(G20-B20)/B20</f>
        <v>0.15740235131795224</v>
      </c>
      <c r="H27" s="170">
        <f>(H20-B20)/B20</f>
        <v>0.1881498813516502</v>
      </c>
      <c r="I27" s="170">
        <f>(I20-B20)/B20</f>
        <v>0.20575936703525671</v>
      </c>
      <c r="J27" s="170">
        <f>(J20-B20)/B20</f>
        <v>0.22286811897209746</v>
      </c>
      <c r="K27" s="170">
        <f>(K20-B20)/B20</f>
        <v>0.24252800759632134</v>
      </c>
      <c r="L27" s="170">
        <f>(L20-B20)/B20</f>
        <v>0.26911365111614605</v>
      </c>
      <c r="M27" s="170">
        <f>(M20-B20)/B20</f>
        <v>0.29608730245078441</v>
      </c>
      <c r="N27" s="170">
        <f>(N20-B20)/B20</f>
        <v>0.32878867302751075</v>
      </c>
      <c r="O27" s="170">
        <f>(O20-B20)/B20</f>
        <v>0.37359733022280672</v>
      </c>
      <c r="P27" s="170">
        <f>(P20-B20)/B20</f>
        <v>0.41982793376923699</v>
      </c>
      <c r="Q27" s="170">
        <f>(Q20-B20)/B20</f>
        <v>0.47607795198254477</v>
      </c>
      <c r="R27" s="170">
        <f>(R20-B20)/B20</f>
        <v>0.48093556078764194</v>
      </c>
      <c r="S27" s="170">
        <f>(S20-B20)/B20</f>
        <v>0.63017271267928177</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C32" sqref="C32"/>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280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4" spans="1:27" ht="15" x14ac:dyDescent="0.25">
      <c r="A4" s="320" t="s">
        <v>281</v>
      </c>
      <c r="B4" s="320"/>
      <c r="C4" s="320"/>
      <c r="D4" s="320"/>
    </row>
    <row r="5" spans="1:27" ht="15" x14ac:dyDescent="0.25">
      <c r="A5" s="321" t="s">
        <v>206</v>
      </c>
      <c r="B5" s="322"/>
      <c r="C5" s="321" t="s">
        <v>207</v>
      </c>
      <c r="D5" s="321"/>
    </row>
    <row r="6" spans="1:27" x14ac:dyDescent="0.2">
      <c r="A6" s="154" t="s">
        <v>208</v>
      </c>
      <c r="B6" s="155" t="s">
        <v>192</v>
      </c>
      <c r="C6" s="154" t="s">
        <v>208</v>
      </c>
      <c r="D6" s="156" t="s">
        <v>192</v>
      </c>
    </row>
    <row r="7" spans="1:27" x14ac:dyDescent="0.2">
      <c r="A7" s="1" t="s">
        <v>282</v>
      </c>
      <c r="B7" s="157">
        <f>18304/110210</f>
        <v>0.16608293258325016</v>
      </c>
      <c r="C7" s="1" t="s">
        <v>282</v>
      </c>
      <c r="D7" s="158">
        <f>16491/93828</f>
        <v>0.17575776953574626</v>
      </c>
    </row>
    <row r="8" spans="1:27" x14ac:dyDescent="0.2">
      <c r="A8" s="1" t="s">
        <v>211</v>
      </c>
      <c r="B8" s="157">
        <f>10725/110210</f>
        <v>9.7314218310498135E-2</v>
      </c>
      <c r="C8" s="1" t="s">
        <v>211</v>
      </c>
      <c r="D8" s="158">
        <f>12670/93828</f>
        <v>0.13503431811399583</v>
      </c>
    </row>
    <row r="9" spans="1:27" x14ac:dyDescent="0.2">
      <c r="A9" s="1" t="s">
        <v>212</v>
      </c>
      <c r="B9" s="157">
        <f>10207/110210</f>
        <v>9.2614100353869883E-2</v>
      </c>
      <c r="C9" s="1" t="s">
        <v>283</v>
      </c>
      <c r="D9" s="158">
        <f>11071/93828</f>
        <v>0.11799249690923819</v>
      </c>
    </row>
    <row r="10" spans="1:27" x14ac:dyDescent="0.2">
      <c r="A10" s="1" t="s">
        <v>217</v>
      </c>
      <c r="B10" s="157">
        <f>9763/110210</f>
        <v>8.8585427819617091E-2</v>
      </c>
      <c r="C10" s="1" t="s">
        <v>212</v>
      </c>
      <c r="D10" s="158">
        <f>10193/93828</f>
        <v>0.10863494905571898</v>
      </c>
    </row>
    <row r="11" spans="1:27" x14ac:dyDescent="0.2">
      <c r="A11" s="1" t="s">
        <v>284</v>
      </c>
      <c r="B11" s="157">
        <f>8430/110210</f>
        <v>7.6490336630069863E-2</v>
      </c>
      <c r="C11" s="1" t="s">
        <v>284</v>
      </c>
      <c r="D11" s="158">
        <f>9513/93828</f>
        <v>0.10138764547896151</v>
      </c>
    </row>
    <row r="12" spans="1:27" x14ac:dyDescent="0.2">
      <c r="A12" s="1" t="s">
        <v>219</v>
      </c>
      <c r="B12" s="157">
        <f>8103/110210</f>
        <v>7.3523273750113416E-2</v>
      </c>
      <c r="C12" s="1" t="s">
        <v>217</v>
      </c>
      <c r="D12" s="158">
        <f>9335/93828</f>
        <v>9.9490557189751458E-2</v>
      </c>
    </row>
    <row r="13" spans="1:27" x14ac:dyDescent="0.2">
      <c r="A13" s="1" t="s">
        <v>283</v>
      </c>
      <c r="B13" s="157">
        <f>6690/110210</f>
        <v>6.0702295617457581E-2</v>
      </c>
      <c r="C13" s="1" t="s">
        <v>218</v>
      </c>
      <c r="D13" s="158">
        <f>5284/93828</f>
        <v>5.6315811911156581E-2</v>
      </c>
    </row>
    <row r="14" spans="1:27" x14ac:dyDescent="0.2">
      <c r="A14" s="1" t="s">
        <v>213</v>
      </c>
      <c r="B14" s="157">
        <f>6038/110210</f>
        <v>5.4786317031122404E-2</v>
      </c>
      <c r="C14" s="1" t="s">
        <v>219</v>
      </c>
      <c r="D14" s="158">
        <f>5144/93828</f>
        <v>5.4823719998294752E-2</v>
      </c>
    </row>
    <row r="15" spans="1:27" x14ac:dyDescent="0.2">
      <c r="A15" s="1" t="s">
        <v>285</v>
      </c>
      <c r="B15" s="157">
        <f>5858/110210</f>
        <v>5.3153071409128026E-2</v>
      </c>
      <c r="C15" s="1" t="s">
        <v>209</v>
      </c>
      <c r="D15" s="158">
        <f>5128/93828</f>
        <v>5.4653195208253402E-2</v>
      </c>
    </row>
    <row r="16" spans="1:27" x14ac:dyDescent="0.2">
      <c r="A16" s="1" t="s">
        <v>218</v>
      </c>
      <c r="B16" s="157">
        <f>5560/110210</f>
        <v>5.0449142546048452E-2</v>
      </c>
      <c r="C16" s="1" t="s">
        <v>214</v>
      </c>
      <c r="D16" s="158">
        <f>5119/93828</f>
        <v>5.4557275013855142E-2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D10" sqref="D10"/>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286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3" spans="1:27" ht="15" x14ac:dyDescent="0.25">
      <c r="A3" s="193" t="s">
        <v>287</v>
      </c>
      <c r="B3" s="193"/>
      <c r="C3" s="193"/>
      <c r="D3" s="193"/>
      <c r="F3" s="320" t="s">
        <v>288</v>
      </c>
      <c r="G3" s="320"/>
      <c r="H3" s="320"/>
    </row>
    <row r="4" spans="1:27" ht="28.5" x14ac:dyDescent="0.2">
      <c r="A4" s="191" t="s">
        <v>233</v>
      </c>
      <c r="B4" s="191" t="s">
        <v>234</v>
      </c>
      <c r="C4" s="192" t="s">
        <v>235</v>
      </c>
      <c r="D4" s="1"/>
      <c r="F4" s="191" t="s">
        <v>236</v>
      </c>
      <c r="G4" s="192" t="s">
        <v>237</v>
      </c>
      <c r="H4" s="37" t="s">
        <v>238</v>
      </c>
      <c r="O4" s="1"/>
    </row>
    <row r="5" spans="1:27" x14ac:dyDescent="0.2">
      <c r="A5" s="160">
        <v>43313</v>
      </c>
      <c r="B5" s="159">
        <v>40</v>
      </c>
      <c r="C5" s="218" t="s">
        <v>239</v>
      </c>
      <c r="D5" s="161"/>
      <c r="F5" s="1" t="s">
        <v>240</v>
      </c>
      <c r="G5" s="159">
        <v>14</v>
      </c>
      <c r="H5" s="203" t="s">
        <v>289</v>
      </c>
      <c r="O5" s="1"/>
    </row>
    <row r="6" spans="1:27" x14ac:dyDescent="0.2">
      <c r="A6" s="160">
        <v>43344</v>
      </c>
      <c r="B6" s="159">
        <v>45</v>
      </c>
      <c r="C6" s="218" t="s">
        <v>239</v>
      </c>
      <c r="D6" s="161"/>
      <c r="F6" s="1" t="s">
        <v>290</v>
      </c>
      <c r="G6" s="159">
        <v>12</v>
      </c>
      <c r="H6" s="203" t="s">
        <v>247</v>
      </c>
      <c r="O6" s="1"/>
    </row>
    <row r="7" spans="1:27" x14ac:dyDescent="0.2">
      <c r="A7" s="160">
        <v>43374</v>
      </c>
      <c r="B7" s="159">
        <v>27</v>
      </c>
      <c r="C7" s="218" t="s">
        <v>239</v>
      </c>
      <c r="D7" s="161"/>
      <c r="F7" s="1" t="s">
        <v>291</v>
      </c>
      <c r="G7" s="159">
        <v>7</v>
      </c>
      <c r="H7" s="203" t="s">
        <v>249</v>
      </c>
      <c r="O7" s="1"/>
    </row>
    <row r="8" spans="1:27" x14ac:dyDescent="0.2">
      <c r="A8" s="160">
        <v>43405</v>
      </c>
      <c r="B8" s="159">
        <v>18</v>
      </c>
      <c r="C8" s="218" t="s">
        <v>239</v>
      </c>
      <c r="D8" s="161"/>
      <c r="F8" s="1" t="s">
        <v>292</v>
      </c>
      <c r="G8" s="159">
        <v>6</v>
      </c>
      <c r="H8" s="203" t="s">
        <v>293</v>
      </c>
      <c r="O8" s="1"/>
    </row>
    <row r="9" spans="1:27" x14ac:dyDescent="0.2">
      <c r="A9" s="160">
        <v>43435</v>
      </c>
      <c r="B9" s="159">
        <v>13</v>
      </c>
      <c r="C9" s="218" t="s">
        <v>239</v>
      </c>
      <c r="D9" s="161"/>
      <c r="F9" s="1" t="s">
        <v>294</v>
      </c>
      <c r="G9" s="159">
        <v>3</v>
      </c>
      <c r="H9" s="203" t="s">
        <v>293</v>
      </c>
      <c r="O9" s="1"/>
    </row>
    <row r="10" spans="1:27" x14ac:dyDescent="0.2">
      <c r="A10" s="160">
        <v>43466</v>
      </c>
      <c r="B10" s="159">
        <v>16</v>
      </c>
      <c r="C10" s="218" t="s">
        <v>239</v>
      </c>
      <c r="D10" s="161"/>
      <c r="F10" s="1" t="s">
        <v>254</v>
      </c>
      <c r="G10" s="159">
        <v>3</v>
      </c>
      <c r="H10" s="203" t="s">
        <v>249</v>
      </c>
      <c r="O10" s="1"/>
    </row>
    <row r="11" spans="1:27" x14ac:dyDescent="0.2">
      <c r="A11" s="160">
        <v>43497</v>
      </c>
      <c r="B11" s="159">
        <v>7</v>
      </c>
      <c r="C11" s="218" t="s">
        <v>239</v>
      </c>
      <c r="D11" s="161"/>
      <c r="F11" s="1" t="s">
        <v>295</v>
      </c>
      <c r="G11" s="159">
        <v>3</v>
      </c>
      <c r="H11" s="203" t="s">
        <v>251</v>
      </c>
      <c r="O11" s="1"/>
    </row>
    <row r="12" spans="1:27" x14ac:dyDescent="0.2">
      <c r="A12" s="160">
        <v>43525</v>
      </c>
      <c r="B12" s="159">
        <v>9</v>
      </c>
      <c r="C12" s="218" t="s">
        <v>239</v>
      </c>
      <c r="D12" s="161"/>
      <c r="F12" s="1" t="s">
        <v>296</v>
      </c>
      <c r="G12" s="159">
        <v>3</v>
      </c>
      <c r="H12" s="203" t="s">
        <v>251</v>
      </c>
      <c r="O12" s="1"/>
    </row>
    <row r="13" spans="1:27" x14ac:dyDescent="0.2">
      <c r="A13" s="160">
        <v>43556</v>
      </c>
      <c r="B13" s="159">
        <v>4</v>
      </c>
      <c r="C13" s="218" t="s">
        <v>239</v>
      </c>
      <c r="D13" s="161"/>
      <c r="F13" s="1" t="s">
        <v>297</v>
      </c>
      <c r="G13" s="159">
        <v>2</v>
      </c>
      <c r="H13" s="203" t="s">
        <v>293</v>
      </c>
      <c r="O13" s="1"/>
    </row>
    <row r="14" spans="1:27" x14ac:dyDescent="0.2">
      <c r="A14" s="160">
        <v>43586</v>
      </c>
      <c r="B14" s="159">
        <v>5</v>
      </c>
      <c r="C14" s="218" t="s">
        <v>239</v>
      </c>
      <c r="D14" s="161"/>
      <c r="F14" s="1" t="s">
        <v>298</v>
      </c>
      <c r="G14" s="159">
        <v>2</v>
      </c>
      <c r="H14" s="203" t="s">
        <v>251</v>
      </c>
      <c r="O14" s="1"/>
    </row>
    <row r="15" spans="1:27" x14ac:dyDescent="0.2">
      <c r="A15" s="160">
        <v>43617</v>
      </c>
      <c r="B15" s="159">
        <v>10</v>
      </c>
      <c r="C15" s="218" t="s">
        <v>239</v>
      </c>
      <c r="D15" s="161"/>
      <c r="O15" s="1"/>
    </row>
    <row r="16" spans="1:27" x14ac:dyDescent="0.2">
      <c r="A16" s="160">
        <v>43647</v>
      </c>
      <c r="B16" s="159">
        <v>14</v>
      </c>
      <c r="C16" s="218" t="s">
        <v>239</v>
      </c>
      <c r="D16" s="161"/>
      <c r="O16" s="1"/>
    </row>
    <row r="17" spans="1:15" x14ac:dyDescent="0.2">
      <c r="A17" s="160">
        <v>43678</v>
      </c>
      <c r="B17" s="159">
        <v>7</v>
      </c>
      <c r="C17" s="218" t="s">
        <v>239</v>
      </c>
      <c r="D17" s="161"/>
      <c r="O17" s="1"/>
    </row>
    <row r="18" spans="1:15" x14ac:dyDescent="0.2">
      <c r="A18" s="160">
        <v>43709</v>
      </c>
      <c r="B18" s="159">
        <v>8</v>
      </c>
      <c r="C18" s="218" t="s">
        <v>239</v>
      </c>
      <c r="D18" s="161"/>
      <c r="I18" s="39"/>
      <c r="O18" s="1"/>
    </row>
    <row r="19" spans="1:15" x14ac:dyDescent="0.2">
      <c r="A19" s="160">
        <v>43739</v>
      </c>
      <c r="B19" s="159">
        <v>8</v>
      </c>
      <c r="C19" s="218" t="s">
        <v>239</v>
      </c>
      <c r="D19" s="161"/>
      <c r="I19" s="39"/>
      <c r="O19" s="1"/>
    </row>
    <row r="20" spans="1:15" x14ac:dyDescent="0.2">
      <c r="A20" s="160">
        <v>43770</v>
      </c>
      <c r="B20" s="159">
        <v>7</v>
      </c>
      <c r="C20" s="218" t="s">
        <v>239</v>
      </c>
      <c r="D20" s="161"/>
      <c r="I20" s="39"/>
      <c r="O20" s="1"/>
    </row>
    <row r="21" spans="1:15" x14ac:dyDescent="0.2">
      <c r="A21" s="160">
        <v>43800</v>
      </c>
      <c r="B21" s="159">
        <v>2</v>
      </c>
      <c r="C21" s="218" t="s">
        <v>239</v>
      </c>
      <c r="D21" s="161"/>
      <c r="I21" s="39"/>
      <c r="O21" s="1"/>
    </row>
    <row r="22" spans="1:15" x14ac:dyDescent="0.2">
      <c r="A22" s="160">
        <v>43831</v>
      </c>
      <c r="B22" s="159">
        <v>2</v>
      </c>
      <c r="C22" s="218" t="s">
        <v>239</v>
      </c>
      <c r="D22" s="161"/>
      <c r="I22" s="39"/>
      <c r="O22" s="1"/>
    </row>
    <row r="23" spans="1:15" x14ac:dyDescent="0.2">
      <c r="A23" s="160">
        <v>43862</v>
      </c>
      <c r="B23" s="159">
        <v>2</v>
      </c>
      <c r="C23" s="218" t="s">
        <v>239</v>
      </c>
      <c r="D23" s="161"/>
      <c r="O23" s="1"/>
    </row>
    <row r="24" spans="1:15" x14ac:dyDescent="0.2">
      <c r="A24" s="160">
        <v>43891</v>
      </c>
      <c r="B24" s="159">
        <v>3</v>
      </c>
      <c r="C24" s="218" t="s">
        <v>239</v>
      </c>
      <c r="D24" s="161"/>
      <c r="O24" s="1"/>
    </row>
    <row r="25" spans="1:15" x14ac:dyDescent="0.2">
      <c r="A25" s="160">
        <v>43922</v>
      </c>
      <c r="B25" s="159">
        <v>3</v>
      </c>
      <c r="C25" s="218" t="s">
        <v>239</v>
      </c>
      <c r="D25" s="161"/>
      <c r="O25" s="1"/>
    </row>
    <row r="26" spans="1:15" x14ac:dyDescent="0.2">
      <c r="A26" s="160">
        <v>43952</v>
      </c>
      <c r="B26" s="159">
        <v>2</v>
      </c>
      <c r="C26" s="218" t="s">
        <v>239</v>
      </c>
      <c r="D26" s="161"/>
      <c r="O26" s="1"/>
    </row>
    <row r="27" spans="1:15" x14ac:dyDescent="0.2">
      <c r="A27" s="160">
        <v>43983</v>
      </c>
      <c r="B27" s="159">
        <v>3</v>
      </c>
      <c r="C27" s="218" t="s">
        <v>239</v>
      </c>
      <c r="D27" s="161"/>
      <c r="O27" s="1"/>
    </row>
    <row r="28" spans="1:15" x14ac:dyDescent="0.2">
      <c r="A28" s="160">
        <v>44013</v>
      </c>
      <c r="B28" s="159">
        <v>11</v>
      </c>
      <c r="C28" s="218" t="s">
        <v>239</v>
      </c>
      <c r="D28" s="161"/>
      <c r="O28" s="1"/>
    </row>
    <row r="29" spans="1:15" x14ac:dyDescent="0.2">
      <c r="A29" s="160">
        <v>44044</v>
      </c>
      <c r="B29" s="159">
        <v>19</v>
      </c>
      <c r="C29" s="218" t="s">
        <v>239</v>
      </c>
      <c r="D29" s="161"/>
      <c r="O29" s="1"/>
    </row>
    <row r="30" spans="1:15" x14ac:dyDescent="0.2">
      <c r="A30" s="160">
        <v>44075</v>
      </c>
      <c r="B30" s="159">
        <v>18</v>
      </c>
      <c r="C30" s="218" t="s">
        <v>239</v>
      </c>
      <c r="D30" s="161"/>
      <c r="O30" s="1"/>
    </row>
    <row r="31" spans="1:15" x14ac:dyDescent="0.2">
      <c r="A31" s="160">
        <v>44105</v>
      </c>
      <c r="B31" s="159">
        <v>13</v>
      </c>
      <c r="C31" s="218" t="s">
        <v>239</v>
      </c>
      <c r="D31" s="161"/>
      <c r="O31" s="1"/>
    </row>
    <row r="32" spans="1:15" x14ac:dyDescent="0.2">
      <c r="A32" s="160">
        <v>44136</v>
      </c>
      <c r="B32" s="159">
        <v>11</v>
      </c>
      <c r="C32" s="218" t="s">
        <v>239</v>
      </c>
      <c r="D32" s="161"/>
      <c r="O32" s="1"/>
    </row>
    <row r="33" spans="1:15" x14ac:dyDescent="0.2">
      <c r="A33" s="160">
        <v>44166</v>
      </c>
      <c r="B33" s="159">
        <v>7</v>
      </c>
      <c r="C33" s="218" t="s">
        <v>239</v>
      </c>
      <c r="D33" s="161"/>
      <c r="O33" s="1"/>
    </row>
    <row r="34" spans="1:15" x14ac:dyDescent="0.2">
      <c r="A34" s="160">
        <v>44197</v>
      </c>
      <c r="B34" s="159">
        <v>8</v>
      </c>
      <c r="C34" s="218" t="s">
        <v>239</v>
      </c>
      <c r="D34" s="161"/>
      <c r="O34" s="1"/>
    </row>
    <row r="35" spans="1:15" x14ac:dyDescent="0.2">
      <c r="A35" s="160">
        <v>44228</v>
      </c>
      <c r="B35" s="159">
        <v>12</v>
      </c>
      <c r="C35" s="218" t="s">
        <v>239</v>
      </c>
      <c r="D35" s="161"/>
      <c r="O35" s="1"/>
    </row>
    <row r="36" spans="1:15" x14ac:dyDescent="0.2">
      <c r="A36" s="160">
        <v>44256</v>
      </c>
      <c r="B36" s="159">
        <v>8</v>
      </c>
      <c r="C36" s="218" t="s">
        <v>239</v>
      </c>
      <c r="D36" s="161"/>
      <c r="O36" s="1"/>
    </row>
    <row r="37" spans="1:15" x14ac:dyDescent="0.2">
      <c r="A37" s="160">
        <v>44287</v>
      </c>
      <c r="B37" s="159">
        <v>11</v>
      </c>
      <c r="C37" s="218" t="s">
        <v>239</v>
      </c>
      <c r="D37" s="161"/>
      <c r="O37" s="1"/>
    </row>
    <row r="38" spans="1:15" x14ac:dyDescent="0.2">
      <c r="A38" s="160">
        <v>44317</v>
      </c>
      <c r="B38" s="159">
        <v>11</v>
      </c>
      <c r="C38" s="218" t="s">
        <v>239</v>
      </c>
      <c r="D38" s="161"/>
      <c r="O38" s="1"/>
    </row>
    <row r="39" spans="1:15" x14ac:dyDescent="0.2">
      <c r="A39" s="160">
        <v>44348</v>
      </c>
      <c r="B39" s="159">
        <v>15</v>
      </c>
      <c r="C39" s="218" t="s">
        <v>239</v>
      </c>
      <c r="D39" s="161"/>
      <c r="O39" s="1"/>
    </row>
    <row r="40" spans="1:15" x14ac:dyDescent="0.2">
      <c r="A40" s="160">
        <v>44378</v>
      </c>
      <c r="B40" s="159">
        <v>21</v>
      </c>
      <c r="C40" s="218" t="s">
        <v>239</v>
      </c>
      <c r="D40" s="161"/>
      <c r="O40" s="1"/>
    </row>
    <row r="41" spans="1:15" x14ac:dyDescent="0.2">
      <c r="A41" s="160">
        <v>44409</v>
      </c>
      <c r="B41" s="159">
        <v>21</v>
      </c>
      <c r="C41" s="218" t="s">
        <v>239</v>
      </c>
      <c r="D41" s="161"/>
      <c r="O41" s="1"/>
    </row>
    <row r="42" spans="1:15" x14ac:dyDescent="0.2">
      <c r="A42" s="160">
        <v>44440</v>
      </c>
      <c r="B42" s="159">
        <v>29</v>
      </c>
      <c r="C42" s="218" t="s">
        <v>239</v>
      </c>
      <c r="D42" s="161"/>
      <c r="O42" s="1"/>
    </row>
    <row r="43" spans="1:15" x14ac:dyDescent="0.2">
      <c r="A43" s="160">
        <v>44470</v>
      </c>
      <c r="B43" s="159">
        <v>33</v>
      </c>
      <c r="C43" s="218" t="s">
        <v>239</v>
      </c>
      <c r="D43" s="161"/>
      <c r="O43" s="1"/>
    </row>
    <row r="44" spans="1:15" x14ac:dyDescent="0.2">
      <c r="A44" s="160">
        <v>44501</v>
      </c>
      <c r="B44" s="159">
        <v>27</v>
      </c>
      <c r="C44" s="218" t="s">
        <v>239</v>
      </c>
      <c r="D44" s="161"/>
      <c r="O44" s="1"/>
    </row>
    <row r="45" spans="1:15" x14ac:dyDescent="0.2">
      <c r="A45" s="160">
        <v>44531</v>
      </c>
      <c r="B45" s="159">
        <v>15</v>
      </c>
      <c r="C45" s="218" t="s">
        <v>239</v>
      </c>
      <c r="D45" s="161"/>
      <c r="O45" s="1"/>
    </row>
    <row r="46" spans="1:15" x14ac:dyDescent="0.2">
      <c r="A46" s="160">
        <v>44562</v>
      </c>
      <c r="B46" s="159">
        <v>14</v>
      </c>
      <c r="C46" s="218" t="s">
        <v>239</v>
      </c>
      <c r="D46" s="161"/>
      <c r="O46" s="1"/>
    </row>
    <row r="47" spans="1:15" x14ac:dyDescent="0.2">
      <c r="A47" s="160">
        <v>44593</v>
      </c>
      <c r="B47" s="159">
        <v>14</v>
      </c>
      <c r="C47" s="218" t="s">
        <v>239</v>
      </c>
      <c r="D47" s="161"/>
      <c r="O47" s="1"/>
    </row>
    <row r="48" spans="1:15" x14ac:dyDescent="0.2">
      <c r="A48" s="160">
        <v>44621</v>
      </c>
      <c r="B48" s="159">
        <v>13</v>
      </c>
      <c r="C48" s="218" t="s">
        <v>239</v>
      </c>
      <c r="D48" s="161"/>
      <c r="O48" s="1"/>
    </row>
    <row r="49" spans="1:15" x14ac:dyDescent="0.2">
      <c r="A49" s="160">
        <v>44652</v>
      </c>
      <c r="B49" s="159">
        <v>8</v>
      </c>
      <c r="C49" s="218" t="s">
        <v>239</v>
      </c>
      <c r="D49" s="161"/>
      <c r="O49" s="1"/>
    </row>
    <row r="50" spans="1:15" x14ac:dyDescent="0.2">
      <c r="A50" s="160">
        <v>44682</v>
      </c>
      <c r="B50" s="159">
        <v>9</v>
      </c>
      <c r="C50" s="218" t="s">
        <v>239</v>
      </c>
      <c r="D50" s="161"/>
      <c r="O50" s="1"/>
    </row>
    <row r="51" spans="1:15" x14ac:dyDescent="0.2">
      <c r="A51" s="160">
        <v>44713</v>
      </c>
      <c r="B51" s="159">
        <v>15</v>
      </c>
      <c r="C51" s="218" t="s">
        <v>239</v>
      </c>
      <c r="D51" s="161"/>
      <c r="O51" s="1"/>
    </row>
    <row r="52" spans="1:15" x14ac:dyDescent="0.2">
      <c r="A52" s="160">
        <v>44743</v>
      </c>
      <c r="B52" s="159">
        <v>19</v>
      </c>
      <c r="C52" s="218" t="s">
        <v>239</v>
      </c>
      <c r="D52" s="161"/>
      <c r="O52" s="1"/>
    </row>
    <row r="53" spans="1:15" x14ac:dyDescent="0.2">
      <c r="A53" s="160">
        <v>44774</v>
      </c>
      <c r="B53" s="159">
        <v>13</v>
      </c>
      <c r="C53" s="218" t="s">
        <v>239</v>
      </c>
      <c r="D53" s="161"/>
      <c r="O53" s="1"/>
    </row>
    <row r="54" spans="1:15" x14ac:dyDescent="0.2">
      <c r="A54" s="160">
        <v>44805</v>
      </c>
      <c r="B54" s="159">
        <v>7</v>
      </c>
      <c r="C54" s="218" t="s">
        <v>239</v>
      </c>
      <c r="D54" s="161"/>
      <c r="O54" s="1"/>
    </row>
    <row r="55" spans="1:15" x14ac:dyDescent="0.2">
      <c r="A55" s="160">
        <v>44835</v>
      </c>
      <c r="B55" s="159">
        <v>2</v>
      </c>
      <c r="C55" s="218" t="s">
        <v>239</v>
      </c>
      <c r="D55" s="161"/>
      <c r="O55" s="1"/>
    </row>
    <row r="56" spans="1:15" x14ac:dyDescent="0.2">
      <c r="A56" s="160">
        <v>44866</v>
      </c>
      <c r="B56" s="159">
        <v>13</v>
      </c>
      <c r="C56" s="218" t="s">
        <v>239</v>
      </c>
      <c r="D56" s="161"/>
      <c r="O56" s="1"/>
    </row>
    <row r="57" spans="1:15" x14ac:dyDescent="0.2">
      <c r="A57" s="160">
        <v>44896</v>
      </c>
      <c r="B57" s="159">
        <v>14</v>
      </c>
      <c r="C57" s="218" t="s">
        <v>239</v>
      </c>
      <c r="D57" s="161"/>
      <c r="O57" s="1"/>
    </row>
    <row r="58" spans="1:15" x14ac:dyDescent="0.2">
      <c r="A58" s="160">
        <v>44927</v>
      </c>
      <c r="B58" s="159">
        <v>10</v>
      </c>
      <c r="C58" s="218" t="s">
        <v>239</v>
      </c>
      <c r="D58" s="161"/>
      <c r="O58" s="1"/>
    </row>
    <row r="59" spans="1:15" x14ac:dyDescent="0.2">
      <c r="A59" s="160">
        <v>44958</v>
      </c>
      <c r="B59" s="159">
        <v>11</v>
      </c>
      <c r="C59" s="218" t="s">
        <v>239</v>
      </c>
      <c r="D59" s="161"/>
      <c r="O59" s="1"/>
    </row>
    <row r="60" spans="1:15" x14ac:dyDescent="0.2">
      <c r="A60" s="160">
        <v>44986</v>
      </c>
      <c r="B60" s="159">
        <v>15</v>
      </c>
      <c r="C60" s="218" t="s">
        <v>239</v>
      </c>
      <c r="D60" s="161"/>
      <c r="O60" s="1"/>
    </row>
    <row r="61" spans="1:15" x14ac:dyDescent="0.2">
      <c r="A61" s="160">
        <v>45017</v>
      </c>
      <c r="B61" s="159">
        <v>11</v>
      </c>
      <c r="C61" s="218" t="s">
        <v>239</v>
      </c>
      <c r="D61" s="161"/>
      <c r="O61" s="1"/>
    </row>
    <row r="62" spans="1:15" x14ac:dyDescent="0.2">
      <c r="A62" s="160">
        <v>45047</v>
      </c>
      <c r="B62" s="159">
        <v>17</v>
      </c>
      <c r="C62" s="218" t="s">
        <v>239</v>
      </c>
      <c r="D62" s="161"/>
      <c r="O62" s="1"/>
    </row>
    <row r="63" spans="1:15" x14ac:dyDescent="0.2">
      <c r="A63" s="160">
        <v>45078</v>
      </c>
      <c r="B63" s="159">
        <v>15</v>
      </c>
      <c r="C63" s="218" t="s">
        <v>239</v>
      </c>
      <c r="D63" s="161"/>
      <c r="O63" s="1"/>
    </row>
    <row r="64" spans="1:15" x14ac:dyDescent="0.2">
      <c r="A64" s="160">
        <v>45108</v>
      </c>
      <c r="B64" s="159">
        <v>14</v>
      </c>
      <c r="C64" s="218" t="s">
        <v>239</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G14" sqref="G14"/>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9" t="s">
        <v>299</v>
      </c>
      <c r="B1" s="239"/>
      <c r="C1" s="239"/>
      <c r="D1" s="239"/>
      <c r="E1" s="239"/>
      <c r="F1" s="239"/>
      <c r="G1" s="239"/>
      <c r="H1" s="239"/>
      <c r="I1" s="239"/>
      <c r="J1" s="239"/>
      <c r="K1" s="239"/>
      <c r="L1" s="239"/>
      <c r="M1" s="239"/>
      <c r="N1" s="239"/>
      <c r="O1" s="239"/>
      <c r="P1" s="239"/>
      <c r="Q1" s="239"/>
      <c r="R1" s="239"/>
      <c r="S1" s="239"/>
      <c r="T1" s="239"/>
      <c r="U1" s="239"/>
      <c r="V1" s="239"/>
      <c r="W1" s="239"/>
      <c r="X1" s="239"/>
      <c r="Y1" s="239"/>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zoomScaleNormal="100" workbookViewId="0">
      <selection activeCell="J33" sqref="J33"/>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9" t="s">
        <v>300</v>
      </c>
      <c r="B1" s="239"/>
      <c r="C1" s="239"/>
      <c r="D1" s="239"/>
      <c r="E1" s="239"/>
      <c r="F1" s="239"/>
      <c r="G1" s="239"/>
      <c r="H1" s="239"/>
      <c r="I1" s="239"/>
      <c r="J1" s="239"/>
      <c r="K1" s="239"/>
      <c r="L1" s="239"/>
      <c r="M1" s="239"/>
      <c r="N1" s="239"/>
      <c r="O1" s="239"/>
      <c r="P1" s="239"/>
      <c r="Q1" s="239"/>
      <c r="R1" s="239"/>
    </row>
    <row r="2" spans="1:27" ht="15" thickBot="1" x14ac:dyDescent="0.25">
      <c r="B2" s="38"/>
      <c r="C2" s="38"/>
      <c r="P2" s="1"/>
      <c r="Q2" s="40"/>
    </row>
    <row r="3" spans="1:27" ht="12.75" customHeight="1" thickBot="1" x14ac:dyDescent="0.25">
      <c r="A3" s="323" t="s">
        <v>28</v>
      </c>
      <c r="B3" s="326" t="s">
        <v>29</v>
      </c>
      <c r="C3" s="260"/>
      <c r="D3" s="298" t="s">
        <v>30</v>
      </c>
      <c r="E3" s="299"/>
      <c r="F3" s="212" t="s">
        <v>32</v>
      </c>
      <c r="G3" s="211" t="s">
        <v>32</v>
      </c>
      <c r="H3" s="211" t="s">
        <v>32</v>
      </c>
      <c r="I3" s="276" t="s">
        <v>32</v>
      </c>
      <c r="J3" s="276"/>
      <c r="K3" s="276" t="s">
        <v>33</v>
      </c>
      <c r="L3" s="276"/>
      <c r="M3" s="211" t="s">
        <v>34</v>
      </c>
      <c r="N3" s="211" t="s">
        <v>34</v>
      </c>
      <c r="O3" s="213" t="s">
        <v>34</v>
      </c>
      <c r="P3" s="1"/>
      <c r="Q3" s="40"/>
      <c r="V3" s="307" t="s">
        <v>301</v>
      </c>
      <c r="W3" s="307"/>
      <c r="X3" s="307"/>
      <c r="Y3" s="307"/>
      <c r="Z3" s="307"/>
      <c r="AA3" s="307"/>
    </row>
    <row r="4" spans="1:27" ht="14.45" customHeight="1" thickBot="1" x14ac:dyDescent="0.3">
      <c r="A4" s="324"/>
      <c r="B4" s="261" t="s">
        <v>36</v>
      </c>
      <c r="C4" s="327" t="s">
        <v>37</v>
      </c>
      <c r="D4" s="310" t="s">
        <v>36</v>
      </c>
      <c r="E4" s="312" t="s">
        <v>37</v>
      </c>
      <c r="F4" s="287" t="s">
        <v>38</v>
      </c>
      <c r="G4" s="285" t="s">
        <v>39</v>
      </c>
      <c r="H4" s="285" t="s">
        <v>40</v>
      </c>
      <c r="I4" s="277" t="s">
        <v>127</v>
      </c>
      <c r="J4" s="278"/>
      <c r="K4" s="277" t="s">
        <v>42</v>
      </c>
      <c r="L4" s="278"/>
      <c r="M4" s="289" t="s">
        <v>43</v>
      </c>
      <c r="N4" s="289" t="s">
        <v>44</v>
      </c>
      <c r="O4" s="329" t="s">
        <v>45</v>
      </c>
      <c r="P4" s="1"/>
      <c r="Q4" s="40"/>
      <c r="U4" s="1" t="s">
        <v>128</v>
      </c>
      <c r="V4" s="44" t="s">
        <v>129</v>
      </c>
      <c r="W4" s="44" t="s">
        <v>47</v>
      </c>
      <c r="X4" s="44" t="s">
        <v>49</v>
      </c>
      <c r="Y4" s="44" t="s">
        <v>130</v>
      </c>
      <c r="Z4" s="44" t="s">
        <v>131</v>
      </c>
      <c r="AA4" s="44" t="s">
        <v>132</v>
      </c>
    </row>
    <row r="5" spans="1:27" ht="36.75" thickBot="1" x14ac:dyDescent="0.25">
      <c r="A5" s="325"/>
      <c r="B5" s="306"/>
      <c r="C5" s="328"/>
      <c r="D5" s="311"/>
      <c r="E5" s="313"/>
      <c r="F5" s="288"/>
      <c r="G5" s="286"/>
      <c r="H5" s="286"/>
      <c r="I5" s="45" t="s">
        <v>47</v>
      </c>
      <c r="J5" s="45" t="s">
        <v>48</v>
      </c>
      <c r="K5" s="45" t="s">
        <v>49</v>
      </c>
      <c r="L5" s="45" t="s">
        <v>50</v>
      </c>
      <c r="M5" s="290"/>
      <c r="N5" s="290"/>
      <c r="O5" s="330"/>
      <c r="P5" s="1"/>
      <c r="Q5" s="40"/>
      <c r="U5" s="1">
        <v>0</v>
      </c>
      <c r="V5" s="46">
        <f>H6</f>
        <v>13.731028158816967</v>
      </c>
      <c r="W5" s="46">
        <f>I6</f>
        <v>15.104129464285716</v>
      </c>
      <c r="X5" s="46">
        <f>K6</f>
        <v>16.614542410714289</v>
      </c>
      <c r="Y5" s="46">
        <f>M6</f>
        <v>18.275996651785722</v>
      </c>
      <c r="Z5" s="46">
        <f>N6</f>
        <v>20.103596316964296</v>
      </c>
      <c r="AA5" s="46">
        <f>O6</f>
        <v>22.113955948660728</v>
      </c>
    </row>
    <row r="6" spans="1:27" x14ac:dyDescent="0.2">
      <c r="A6" s="111" t="s">
        <v>54</v>
      </c>
      <c r="B6" s="112">
        <f>'1A'!B13</f>
        <v>11.61</v>
      </c>
      <c r="C6" s="113">
        <f>'1A'!C13</f>
        <v>24148.799999999999</v>
      </c>
      <c r="D6" s="59">
        <f>'1A'!D13</f>
        <v>15.104129464285716</v>
      </c>
      <c r="E6" s="114">
        <f>'1A'!E13</f>
        <v>31416.58928571429</v>
      </c>
      <c r="F6" s="59">
        <f>'1A'!F13</f>
        <v>13.731028158816967</v>
      </c>
      <c r="G6" s="59">
        <f>'1A'!G13</f>
        <v>13.731028158816967</v>
      </c>
      <c r="H6" s="59">
        <f>'1A'!H13</f>
        <v>13.731028158816967</v>
      </c>
      <c r="I6" s="60">
        <f>'1A'!I13</f>
        <v>15.104129464285716</v>
      </c>
      <c r="J6" s="116">
        <f>'1A'!J13</f>
        <v>15.859335937500003</v>
      </c>
      <c r="K6" s="60">
        <f>'1A'!K13</f>
        <v>16.614542410714289</v>
      </c>
      <c r="L6" s="60">
        <f>'1A'!L13</f>
        <v>17.445269531250005</v>
      </c>
      <c r="M6" s="60">
        <f>'1A'!M13</f>
        <v>18.275996651785722</v>
      </c>
      <c r="N6" s="60">
        <f>'1A'!N13</f>
        <v>20.103596316964296</v>
      </c>
      <c r="O6" s="162">
        <f>'1A'!O13</f>
        <v>22.113955948660728</v>
      </c>
      <c r="P6" s="1"/>
      <c r="U6" s="1">
        <v>1</v>
      </c>
      <c r="V6" s="46">
        <f t="shared" ref="V6:V25" si="0">V5*1.025</f>
        <v>14.07430386278739</v>
      </c>
      <c r="W6" s="46">
        <f t="shared" ref="W6:W25" si="1">W5*1.025</f>
        <v>15.481732700892858</v>
      </c>
      <c r="X6" s="46">
        <f t="shared" ref="X6:X25" si="2">X5*1.025</f>
        <v>17.029905970982146</v>
      </c>
      <c r="Y6" s="46">
        <f t="shared" ref="Y6:Y25" si="3">Y5*1.025</f>
        <v>18.732896568080363</v>
      </c>
      <c r="Z6" s="46">
        <f t="shared" ref="Z6:Z25" si="4">Z5*1.025</f>
        <v>20.6061862248884</v>
      </c>
      <c r="AA6" s="46">
        <f t="shared" ref="AA6:AA25" si="5">AA5*1.025</f>
        <v>22.666804847377243</v>
      </c>
    </row>
    <row r="7" spans="1:27" x14ac:dyDescent="0.2">
      <c r="A7" s="282" t="s">
        <v>133</v>
      </c>
      <c r="B7" s="283"/>
      <c r="C7" s="283"/>
      <c r="D7" s="283"/>
      <c r="E7" s="283"/>
      <c r="F7" s="283"/>
      <c r="G7" s="283"/>
      <c r="H7" s="284"/>
      <c r="I7" s="55">
        <f>I6-H6</f>
        <v>1.3731013054687491</v>
      </c>
      <c r="J7" s="55">
        <f t="shared" ref="J7:O7" si="6">J6-I6</f>
        <v>0.75520647321428669</v>
      </c>
      <c r="K7" s="55">
        <f t="shared" si="6"/>
        <v>0.75520647321428669</v>
      </c>
      <c r="L7" s="55">
        <f>L6-K6</f>
        <v>0.83072712053571607</v>
      </c>
      <c r="M7" s="55">
        <f t="shared" si="6"/>
        <v>0.83072712053571607</v>
      </c>
      <c r="N7" s="55">
        <f t="shared" si="6"/>
        <v>1.8275996651785746</v>
      </c>
      <c r="O7" s="55">
        <f t="shared" si="6"/>
        <v>2.0103596316964314</v>
      </c>
      <c r="P7" s="1"/>
      <c r="U7" s="1">
        <v>2</v>
      </c>
      <c r="V7" s="46">
        <f t="shared" si="0"/>
        <v>14.426161459357074</v>
      </c>
      <c r="W7" s="46">
        <f t="shared" si="1"/>
        <v>15.868776018415177</v>
      </c>
      <c r="X7" s="46">
        <f t="shared" si="2"/>
        <v>17.455653620256697</v>
      </c>
      <c r="Y7" s="46">
        <f t="shared" si="3"/>
        <v>19.20121898228237</v>
      </c>
      <c r="Z7" s="46">
        <f t="shared" si="4"/>
        <v>21.121340880510608</v>
      </c>
      <c r="AA7" s="46">
        <f t="shared" si="5"/>
        <v>23.233474968561673</v>
      </c>
    </row>
    <row r="8" spans="1:27" x14ac:dyDescent="0.2">
      <c r="A8" s="56" t="s">
        <v>63</v>
      </c>
      <c r="B8" s="59">
        <f>'1A'!B21</f>
        <v>11.61</v>
      </c>
      <c r="C8" s="114">
        <f>'1A'!C21</f>
        <v>24148.799999999999</v>
      </c>
      <c r="D8" s="59">
        <f>'1A'!D21</f>
        <v>13.731026785714286</v>
      </c>
      <c r="E8" s="114">
        <f>'1A'!E21</f>
        <v>28560.535714285714</v>
      </c>
      <c r="F8" s="59">
        <f>'1A'!F21</f>
        <v>12.482752871651787</v>
      </c>
      <c r="G8" s="60">
        <f>'1A'!G21</f>
        <v>12.482752871651787</v>
      </c>
      <c r="H8" s="60">
        <f>'1A'!H21</f>
        <v>12.482752871651787</v>
      </c>
      <c r="I8" s="61">
        <f>'1A'!I21</f>
        <v>13.731026785714286</v>
      </c>
      <c r="J8" s="61">
        <f>'1A'!J21</f>
        <v>14.417578125000002</v>
      </c>
      <c r="K8" s="61">
        <f>'1A'!K21</f>
        <v>15.104129464285716</v>
      </c>
      <c r="L8" s="61">
        <f>'1A'!L21</f>
        <v>15.859335937500003</v>
      </c>
      <c r="M8" s="61">
        <f>'1A'!M21</f>
        <v>16.614542410714289</v>
      </c>
      <c r="N8" s="61">
        <f>'1A'!N21</f>
        <v>18.275996651785722</v>
      </c>
      <c r="O8" s="62">
        <f>'1A'!O21</f>
        <v>20.103596316964296</v>
      </c>
      <c r="P8" s="1"/>
      <c r="U8" s="1">
        <v>3</v>
      </c>
      <c r="V8" s="46">
        <f t="shared" si="0"/>
        <v>14.786815495840999</v>
      </c>
      <c r="W8" s="46">
        <f t="shared" si="1"/>
        <v>16.265495418875556</v>
      </c>
      <c r="X8" s="46">
        <f t="shared" si="2"/>
        <v>17.892044960763112</v>
      </c>
      <c r="Y8" s="46">
        <f t="shared" si="3"/>
        <v>19.681249456839428</v>
      </c>
      <c r="Z8" s="46">
        <f t="shared" si="4"/>
        <v>21.649374402523371</v>
      </c>
      <c r="AA8" s="46">
        <f t="shared" si="5"/>
        <v>23.814311842775712</v>
      </c>
    </row>
    <row r="9" spans="1:27" x14ac:dyDescent="0.2">
      <c r="A9" s="282" t="s">
        <v>133</v>
      </c>
      <c r="B9" s="283"/>
      <c r="C9" s="283"/>
      <c r="D9" s="283"/>
      <c r="E9" s="283"/>
      <c r="F9" s="283"/>
      <c r="G9" s="283"/>
      <c r="H9" s="284"/>
      <c r="I9" s="55">
        <f>I8-H8</f>
        <v>1.2482739140624997</v>
      </c>
      <c r="J9" s="55">
        <f t="shared" ref="J9:O9" si="7">J8-I8</f>
        <v>0.68655133928571566</v>
      </c>
      <c r="K9" s="55">
        <f t="shared" si="7"/>
        <v>0.68655133928571388</v>
      </c>
      <c r="L9" s="55">
        <f t="shared" si="7"/>
        <v>0.75520647321428669</v>
      </c>
      <c r="M9" s="55">
        <f t="shared" si="7"/>
        <v>0.75520647321428669</v>
      </c>
      <c r="N9" s="55">
        <f t="shared" si="7"/>
        <v>1.6614542410714321</v>
      </c>
      <c r="O9" s="55">
        <f t="shared" si="7"/>
        <v>1.8275996651785746</v>
      </c>
      <c r="P9" s="1"/>
      <c r="U9" s="1">
        <v>4</v>
      </c>
      <c r="V9" s="46">
        <f t="shared" si="0"/>
        <v>15.156485883237023</v>
      </c>
      <c r="W9" s="46">
        <f t="shared" si="1"/>
        <v>16.672132804347445</v>
      </c>
      <c r="X9" s="46">
        <f t="shared" si="2"/>
        <v>18.339346084782189</v>
      </c>
      <c r="Y9" s="46">
        <f t="shared" si="3"/>
        <v>20.173280693260413</v>
      </c>
      <c r="Z9" s="46">
        <f t="shared" si="4"/>
        <v>22.190608762586454</v>
      </c>
      <c r="AA9" s="46">
        <f t="shared" si="5"/>
        <v>24.409669638845102</v>
      </c>
    </row>
    <row r="10" spans="1:27" x14ac:dyDescent="0.2">
      <c r="P10" s="1"/>
      <c r="Q10" s="40"/>
      <c r="U10" s="1">
        <v>5</v>
      </c>
      <c r="V10" s="46">
        <f t="shared" si="0"/>
        <v>15.535398030317948</v>
      </c>
      <c r="W10" s="46">
        <f t="shared" si="1"/>
        <v>17.088936124456129</v>
      </c>
      <c r="X10" s="46">
        <f t="shared" si="2"/>
        <v>18.797829736901743</v>
      </c>
      <c r="Y10" s="46">
        <f t="shared" si="3"/>
        <v>20.677612710591923</v>
      </c>
      <c r="Z10" s="46">
        <f t="shared" si="4"/>
        <v>22.745373981651113</v>
      </c>
      <c r="AA10" s="46">
        <f t="shared" si="5"/>
        <v>25.019911379816229</v>
      </c>
    </row>
    <row r="11" spans="1:27" x14ac:dyDescent="0.2">
      <c r="U11" s="1">
        <v>6</v>
      </c>
      <c r="V11" s="46">
        <f t="shared" si="0"/>
        <v>15.923782981075895</v>
      </c>
      <c r="W11" s="46">
        <f t="shared" si="1"/>
        <v>17.516159527567531</v>
      </c>
      <c r="X11" s="46">
        <f t="shared" si="2"/>
        <v>19.267775480324286</v>
      </c>
      <c r="Y11" s="46">
        <f t="shared" si="3"/>
        <v>21.194553028356719</v>
      </c>
      <c r="Z11" s="46">
        <f t="shared" si="4"/>
        <v>23.31400833119239</v>
      </c>
      <c r="AA11" s="46">
        <f t="shared" si="5"/>
        <v>25.645409164311634</v>
      </c>
    </row>
    <row r="12" spans="1:27" x14ac:dyDescent="0.2">
      <c r="U12" s="1">
        <v>7</v>
      </c>
      <c r="V12" s="46">
        <f t="shared" si="0"/>
        <v>16.321877555602793</v>
      </c>
      <c r="W12" s="46">
        <f t="shared" si="1"/>
        <v>17.954063515756719</v>
      </c>
      <c r="X12" s="46">
        <f t="shared" si="2"/>
        <v>19.74946986733239</v>
      </c>
      <c r="Y12" s="46">
        <f t="shared" si="3"/>
        <v>21.724416854065634</v>
      </c>
      <c r="Z12" s="46">
        <f t="shared" si="4"/>
        <v>23.896858539472198</v>
      </c>
      <c r="AA12" s="46">
        <f t="shared" si="5"/>
        <v>26.286544393419423</v>
      </c>
    </row>
    <row r="13" spans="1:27" x14ac:dyDescent="0.2">
      <c r="U13" s="1">
        <v>8</v>
      </c>
      <c r="V13" s="46">
        <f t="shared" si="0"/>
        <v>16.72992449449286</v>
      </c>
      <c r="W13" s="46">
        <f t="shared" si="1"/>
        <v>18.402915103650635</v>
      </c>
      <c r="X13" s="46">
        <f t="shared" si="2"/>
        <v>20.243206614015698</v>
      </c>
      <c r="Y13" s="46">
        <f t="shared" si="3"/>
        <v>22.267527275417272</v>
      </c>
      <c r="Z13" s="46">
        <f t="shared" si="4"/>
        <v>24.494280002959002</v>
      </c>
      <c r="AA13" s="46">
        <f t="shared" si="5"/>
        <v>26.943708003254905</v>
      </c>
    </row>
    <row r="14" spans="1:27" ht="16.5" thickBot="1" x14ac:dyDescent="0.3">
      <c r="A14" s="28" t="s">
        <v>302</v>
      </c>
      <c r="B14" s="28"/>
      <c r="C14" s="28"/>
      <c r="D14" s="28"/>
      <c r="E14" s="28"/>
      <c r="F14" s="28"/>
      <c r="G14" s="28"/>
      <c r="H14" s="28"/>
      <c r="I14" s="28"/>
      <c r="J14" s="28"/>
      <c r="K14" s="28"/>
      <c r="L14" s="28"/>
      <c r="M14" s="28"/>
      <c r="N14" s="28"/>
      <c r="O14" s="28"/>
      <c r="P14" s="28"/>
      <c r="Q14" s="28"/>
      <c r="R14" s="28"/>
      <c r="S14" s="28"/>
      <c r="T14" s="28"/>
      <c r="U14" s="1">
        <v>9</v>
      </c>
      <c r="V14" s="46">
        <f t="shared" si="0"/>
        <v>17.14817260685518</v>
      </c>
      <c r="W14" s="46">
        <f t="shared" si="1"/>
        <v>18.862987981241901</v>
      </c>
      <c r="X14" s="46">
        <f t="shared" si="2"/>
        <v>20.749286779366088</v>
      </c>
      <c r="Y14" s="46">
        <f t="shared" si="3"/>
        <v>22.824215457302703</v>
      </c>
      <c r="Z14" s="46">
        <f t="shared" si="4"/>
        <v>25.106637003032976</v>
      </c>
      <c r="AA14" s="46">
        <f t="shared" si="5"/>
        <v>27.617300703336277</v>
      </c>
    </row>
    <row r="15" spans="1:27" ht="15.75" thickBot="1" x14ac:dyDescent="0.3">
      <c r="A15" s="295" t="s">
        <v>135</v>
      </c>
      <c r="B15" s="300" t="s">
        <v>32</v>
      </c>
      <c r="C15" s="279"/>
      <c r="D15" s="279"/>
      <c r="E15" s="279" t="s">
        <v>32</v>
      </c>
      <c r="F15" s="279"/>
      <c r="G15" s="279"/>
      <c r="H15" s="279" t="s">
        <v>33</v>
      </c>
      <c r="I15" s="279"/>
      <c r="J15" s="279"/>
      <c r="K15" s="279" t="s">
        <v>34</v>
      </c>
      <c r="L15" s="279"/>
      <c r="M15" s="279"/>
      <c r="N15" s="279" t="s">
        <v>34</v>
      </c>
      <c r="O15" s="279"/>
      <c r="P15" s="294"/>
      <c r="Q15" s="279" t="s">
        <v>34</v>
      </c>
      <c r="R15" s="279"/>
      <c r="S15" s="294"/>
      <c r="T15" s="63"/>
      <c r="U15" s="1">
        <v>10</v>
      </c>
      <c r="V15" s="46">
        <f t="shared" si="0"/>
        <v>17.576876922026557</v>
      </c>
      <c r="W15" s="46">
        <f t="shared" si="1"/>
        <v>19.334562680772947</v>
      </c>
      <c r="X15" s="46">
        <f t="shared" si="2"/>
        <v>21.268018948850237</v>
      </c>
      <c r="Y15" s="46">
        <f t="shared" si="3"/>
        <v>23.394820843735268</v>
      </c>
      <c r="Z15" s="46">
        <f t="shared" si="4"/>
        <v>25.734302928108796</v>
      </c>
      <c r="AA15" s="46">
        <f t="shared" si="5"/>
        <v>28.30773322091968</v>
      </c>
    </row>
    <row r="16" spans="1:27" ht="15" x14ac:dyDescent="0.2">
      <c r="A16" s="296"/>
      <c r="B16" s="301" t="s">
        <v>136</v>
      </c>
      <c r="C16" s="302"/>
      <c r="D16" s="302"/>
      <c r="E16" s="273" t="s">
        <v>127</v>
      </c>
      <c r="F16" s="274"/>
      <c r="G16" s="275"/>
      <c r="H16" s="273" t="s">
        <v>42</v>
      </c>
      <c r="I16" s="274"/>
      <c r="J16" s="275"/>
      <c r="K16" s="291" t="s">
        <v>137</v>
      </c>
      <c r="L16" s="292"/>
      <c r="M16" s="293"/>
      <c r="N16" s="291" t="s">
        <v>44</v>
      </c>
      <c r="O16" s="292"/>
      <c r="P16" s="293"/>
      <c r="Q16" s="291" t="s">
        <v>138</v>
      </c>
      <c r="R16" s="292"/>
      <c r="S16" s="293"/>
      <c r="T16" s="64"/>
      <c r="U16" s="1">
        <v>11</v>
      </c>
      <c r="V16" s="46">
        <f t="shared" si="0"/>
        <v>18.01629884507722</v>
      </c>
      <c r="W16" s="46">
        <f t="shared" si="1"/>
        <v>19.817926747792271</v>
      </c>
      <c r="X16" s="46">
        <f t="shared" si="2"/>
        <v>21.799719422571492</v>
      </c>
      <c r="Y16" s="46">
        <f t="shared" si="3"/>
        <v>23.979691364828646</v>
      </c>
      <c r="Z16" s="46">
        <f t="shared" si="4"/>
        <v>26.377660501311514</v>
      </c>
      <c r="AA16" s="46">
        <f t="shared" si="5"/>
        <v>29.015426551442669</v>
      </c>
    </row>
    <row r="17" spans="1:27" ht="15" thickBot="1" x14ac:dyDescent="0.25">
      <c r="A17" s="297"/>
      <c r="B17" s="65" t="s">
        <v>139</v>
      </c>
      <c r="C17" s="66" t="s">
        <v>140</v>
      </c>
      <c r="D17" s="66" t="s">
        <v>141</v>
      </c>
      <c r="E17" s="67" t="s">
        <v>139</v>
      </c>
      <c r="F17" s="68" t="s">
        <v>140</v>
      </c>
      <c r="G17" s="69" t="s">
        <v>141</v>
      </c>
      <c r="H17" s="66" t="s">
        <v>139</v>
      </c>
      <c r="I17" s="66" t="s">
        <v>140</v>
      </c>
      <c r="J17" s="70" t="s">
        <v>141</v>
      </c>
      <c r="K17" s="65" t="s">
        <v>139</v>
      </c>
      <c r="L17" s="66" t="s">
        <v>140</v>
      </c>
      <c r="M17" s="70" t="s">
        <v>141</v>
      </c>
      <c r="N17" s="65" t="s">
        <v>139</v>
      </c>
      <c r="O17" s="66" t="s">
        <v>140</v>
      </c>
      <c r="P17" s="70" t="s">
        <v>141</v>
      </c>
      <c r="Q17" s="65" t="s">
        <v>139</v>
      </c>
      <c r="R17" s="66" t="s">
        <v>140</v>
      </c>
      <c r="S17" s="70" t="s">
        <v>141</v>
      </c>
      <c r="T17" s="71"/>
      <c r="U17" s="1">
        <v>12</v>
      </c>
      <c r="V17" s="46">
        <f t="shared" si="0"/>
        <v>18.466706316204149</v>
      </c>
      <c r="W17" s="46">
        <f t="shared" si="1"/>
        <v>20.313374916487074</v>
      </c>
      <c r="X17" s="46">
        <f t="shared" si="2"/>
        <v>22.344712408135777</v>
      </c>
      <c r="Y17" s="46">
        <f t="shared" si="3"/>
        <v>24.57918364894936</v>
      </c>
      <c r="Z17" s="46">
        <f t="shared" si="4"/>
        <v>27.037102013844301</v>
      </c>
      <c r="AA17" s="46">
        <f t="shared" si="5"/>
        <v>29.740812215228733</v>
      </c>
    </row>
    <row r="18" spans="1:27" x14ac:dyDescent="0.2">
      <c r="A18" s="72" t="s">
        <v>142</v>
      </c>
      <c r="B18" s="73">
        <f>H6</f>
        <v>13.731028158816967</v>
      </c>
      <c r="C18" s="73">
        <f>MEDIAN(B18,D18)</f>
        <v>14.258921827328983</v>
      </c>
      <c r="D18" s="73">
        <f>B18*((1.025)^3)</f>
        <v>14.786815495841001</v>
      </c>
      <c r="E18" s="74">
        <f>I6</f>
        <v>15.104129464285716</v>
      </c>
      <c r="F18" s="73">
        <f>MEDIAN(E18,G18)</f>
        <v>15.684812441580638</v>
      </c>
      <c r="G18" s="75">
        <f>E18*((1.025)^3)</f>
        <v>16.26549541887556</v>
      </c>
      <c r="H18" s="73">
        <f>K6</f>
        <v>16.614542410714289</v>
      </c>
      <c r="I18" s="73">
        <f>MEDIAN(H18,J18)</f>
        <v>17.253293685738704</v>
      </c>
      <c r="J18" s="75">
        <f>H18*((1.025)^3)</f>
        <v>17.892044960763116</v>
      </c>
      <c r="K18" s="74">
        <f>M6</f>
        <v>18.275996651785722</v>
      </c>
      <c r="L18" s="73">
        <f>MEDIAN(K18,M18)</f>
        <v>18.978623054312578</v>
      </c>
      <c r="M18" s="75">
        <f>K18*((1.025)^3)</f>
        <v>19.681249456839431</v>
      </c>
      <c r="N18" s="74">
        <f>N6</f>
        <v>20.103596316964296</v>
      </c>
      <c r="O18" s="73">
        <f>MEDIAN(N18,P18)</f>
        <v>20.876485359743839</v>
      </c>
      <c r="P18" s="75">
        <f>N18*((1.025)^3)</f>
        <v>21.649374402523378</v>
      </c>
      <c r="Q18" s="74">
        <f>O6</f>
        <v>22.113955948660728</v>
      </c>
      <c r="R18" s="73">
        <f>MEDIAN(Q18,S18)</f>
        <v>22.96413389571822</v>
      </c>
      <c r="S18" s="75">
        <f>Q18*((1.025)^3)</f>
        <v>23.814311842775716</v>
      </c>
      <c r="T18" s="73"/>
      <c r="U18" s="1">
        <v>13</v>
      </c>
      <c r="V18" s="46">
        <f t="shared" si="0"/>
        <v>18.928373974109252</v>
      </c>
      <c r="W18" s="46">
        <f t="shared" si="1"/>
        <v>20.821209289399249</v>
      </c>
      <c r="X18" s="46">
        <f t="shared" si="2"/>
        <v>22.903330218339171</v>
      </c>
      <c r="Y18" s="46">
        <f t="shared" si="3"/>
        <v>25.193663240173091</v>
      </c>
      <c r="Z18" s="46">
        <f t="shared" si="4"/>
        <v>27.713029564190407</v>
      </c>
      <c r="AA18" s="46">
        <f t="shared" si="5"/>
        <v>30.484332520609449</v>
      </c>
    </row>
    <row r="19" spans="1:27" x14ac:dyDescent="0.2">
      <c r="A19" s="76" t="s">
        <v>143</v>
      </c>
      <c r="B19" s="73">
        <f>B18*((1.025)^4)</f>
        <v>15.156485883237025</v>
      </c>
      <c r="C19" s="73">
        <f t="shared" ref="C19:C23" si="8">MEDIAN(B19,D19)</f>
        <v>15.54013443215646</v>
      </c>
      <c r="D19" s="73">
        <f>B18*((1.025)^6)</f>
        <v>15.923782981075897</v>
      </c>
      <c r="E19" s="74">
        <f>E18*((1.025)^4)</f>
        <v>16.672132804347445</v>
      </c>
      <c r="F19" s="73">
        <f t="shared" ref="F19:F23" si="9">MEDIAN(E19,G19)</f>
        <v>17.09414616595749</v>
      </c>
      <c r="G19" s="75">
        <f>E18*((1.025)^6)</f>
        <v>17.516159527567531</v>
      </c>
      <c r="H19" s="73">
        <f>H18*((1.025)^4)</f>
        <v>18.339346084782193</v>
      </c>
      <c r="I19" s="73">
        <f t="shared" ref="I19:I23" si="10">MEDIAN(H19,J19)</f>
        <v>18.803560782553241</v>
      </c>
      <c r="J19" s="75">
        <f>H18*((1.025)^6)</f>
        <v>19.267775480324286</v>
      </c>
      <c r="K19" s="74">
        <f>K18*((1.025)^4)</f>
        <v>20.173280693260416</v>
      </c>
      <c r="L19" s="73">
        <f t="shared" ref="L19:L23" si="11">MEDIAN(K19,M19)</f>
        <v>20.683916860808566</v>
      </c>
      <c r="M19" s="75">
        <f>K18*((1.025)^6)</f>
        <v>21.194553028356719</v>
      </c>
      <c r="N19" s="74">
        <f>N18*((1.025)^4)</f>
        <v>22.190608762586457</v>
      </c>
      <c r="O19" s="73">
        <f t="shared" ref="O19:O23" si="12">MEDIAN(N19,P19)</f>
        <v>22.752308546889424</v>
      </c>
      <c r="P19" s="75">
        <f>N18*((1.025)^6)</f>
        <v>23.314008331192394</v>
      </c>
      <c r="Q19" s="74">
        <f>Q18*((1.025)^4)</f>
        <v>24.409669638845106</v>
      </c>
      <c r="R19" s="73">
        <f t="shared" ref="R19:R23" si="13">MEDIAN(Q19,S19)</f>
        <v>25.027539401578373</v>
      </c>
      <c r="S19" s="75">
        <f>Q18*((1.025)^6)</f>
        <v>25.645409164311637</v>
      </c>
      <c r="T19" s="73"/>
      <c r="U19" s="1">
        <v>14</v>
      </c>
      <c r="V19" s="46">
        <f t="shared" si="0"/>
        <v>19.401583323461981</v>
      </c>
      <c r="W19" s="46">
        <f t="shared" si="1"/>
        <v>21.341739521634228</v>
      </c>
      <c r="X19" s="46">
        <f t="shared" si="2"/>
        <v>23.475913473797647</v>
      </c>
      <c r="Y19" s="46">
        <f t="shared" si="3"/>
        <v>25.823504821177416</v>
      </c>
      <c r="Z19" s="46">
        <f t="shared" si="4"/>
        <v>28.405855303295166</v>
      </c>
      <c r="AA19" s="46">
        <f t="shared" si="5"/>
        <v>31.246440833624682</v>
      </c>
    </row>
    <row r="20" spans="1:27" x14ac:dyDescent="0.2">
      <c r="A20" s="76" t="s">
        <v>144</v>
      </c>
      <c r="B20" s="73">
        <f>B18*((1.025)^7)</f>
        <v>16.321877555602793</v>
      </c>
      <c r="C20" s="73">
        <f t="shared" si="8"/>
        <v>16.735025081228986</v>
      </c>
      <c r="D20" s="73">
        <f>B18*((1.025)^9)</f>
        <v>17.14817260685518</v>
      </c>
      <c r="E20" s="74">
        <f>E18*((1.025)^7)</f>
        <v>17.954063515756722</v>
      </c>
      <c r="F20" s="73">
        <f t="shared" si="9"/>
        <v>18.408525748499311</v>
      </c>
      <c r="G20" s="75">
        <f>E18*((1.025)^9)</f>
        <v>18.862987981241901</v>
      </c>
      <c r="H20" s="73">
        <f>H18*((1.025)^7)</f>
        <v>19.749469867332394</v>
      </c>
      <c r="I20" s="73">
        <f t="shared" si="10"/>
        <v>20.249378323349241</v>
      </c>
      <c r="J20" s="75">
        <f>H18*((1.025)^9)</f>
        <v>20.749286779366091</v>
      </c>
      <c r="K20" s="74">
        <f>K18*((1.025)^7)</f>
        <v>21.724416854065637</v>
      </c>
      <c r="L20" s="73">
        <f t="shared" si="11"/>
        <v>22.274316155684172</v>
      </c>
      <c r="M20" s="75">
        <f>K18*((1.025)^9)</f>
        <v>22.824215457302707</v>
      </c>
      <c r="N20" s="74">
        <f>N18*((1.025)^7)</f>
        <v>23.896858539472206</v>
      </c>
      <c r="O20" s="73">
        <f t="shared" si="12"/>
        <v>24.501747771252592</v>
      </c>
      <c r="P20" s="75">
        <f>N18*((1.025)^9)</f>
        <v>25.106637003032979</v>
      </c>
      <c r="Q20" s="74">
        <f>Q18*((1.025)^7)</f>
        <v>26.28654439341943</v>
      </c>
      <c r="R20" s="73">
        <f t="shared" si="13"/>
        <v>26.951922548377855</v>
      </c>
      <c r="S20" s="75">
        <f>Q18*((1.025)^9)</f>
        <v>27.61730070333628</v>
      </c>
      <c r="T20" s="73"/>
      <c r="U20" s="1">
        <v>15</v>
      </c>
      <c r="V20" s="46">
        <f t="shared" si="0"/>
        <v>19.886622906548528</v>
      </c>
      <c r="W20" s="46">
        <f t="shared" si="1"/>
        <v>21.87528300967508</v>
      </c>
      <c r="X20" s="46">
        <f t="shared" si="2"/>
        <v>24.062811310642587</v>
      </c>
      <c r="Y20" s="46">
        <f t="shared" si="3"/>
        <v>26.469092441706849</v>
      </c>
      <c r="Z20" s="46">
        <f t="shared" si="4"/>
        <v>29.116001685877542</v>
      </c>
      <c r="AA20" s="46">
        <f t="shared" si="5"/>
        <v>32.027601854465296</v>
      </c>
    </row>
    <row r="21" spans="1:27" x14ac:dyDescent="0.2">
      <c r="A21" s="76" t="s">
        <v>145</v>
      </c>
      <c r="B21" s="73">
        <f>B18*((1.025)^10)</f>
        <v>17.57687692202656</v>
      </c>
      <c r="C21" s="73">
        <f t="shared" si="8"/>
        <v>18.021791619115355</v>
      </c>
      <c r="D21" s="73">
        <f>B18*((1.025)^12)</f>
        <v>18.466706316204153</v>
      </c>
      <c r="E21" s="74">
        <f>E18*((1.025)^10)</f>
        <v>19.334562680772947</v>
      </c>
      <c r="F21" s="73">
        <f t="shared" si="9"/>
        <v>19.823968798630013</v>
      </c>
      <c r="G21" s="75">
        <f>E18*((1.025)^12)</f>
        <v>20.313374916487078</v>
      </c>
      <c r="H21" s="73">
        <f>H18*((1.025)^10)</f>
        <v>21.268018948850244</v>
      </c>
      <c r="I21" s="73">
        <f t="shared" si="10"/>
        <v>21.806365678493016</v>
      </c>
      <c r="J21" s="75">
        <f>H18*((1.025)^12)</f>
        <v>22.344712408135788</v>
      </c>
      <c r="K21" s="74">
        <f>K18*((1.025)^10)</f>
        <v>23.394820843735275</v>
      </c>
      <c r="L21" s="73">
        <f t="shared" si="11"/>
        <v>23.987002246342321</v>
      </c>
      <c r="M21" s="75">
        <f>K18*((1.025)^12)</f>
        <v>24.579183648949368</v>
      </c>
      <c r="N21" s="74">
        <f>N18*((1.025)^10)</f>
        <v>25.734302928108804</v>
      </c>
      <c r="O21" s="73">
        <f t="shared" si="12"/>
        <v>26.385702470976554</v>
      </c>
      <c r="P21" s="75">
        <f>N18*((1.025)^12)</f>
        <v>27.037102013844308</v>
      </c>
      <c r="Q21" s="74">
        <f>Q18*((1.025)^10)</f>
        <v>28.307733220919687</v>
      </c>
      <c r="R21" s="73">
        <f t="shared" si="13"/>
        <v>29.024272718074215</v>
      </c>
      <c r="S21" s="75">
        <f>Q18*((1.025)^12)</f>
        <v>29.740812215228743</v>
      </c>
      <c r="T21" s="73"/>
      <c r="U21" s="1">
        <v>16</v>
      </c>
      <c r="V21" s="46">
        <f t="shared" si="0"/>
        <v>20.383788479212239</v>
      </c>
      <c r="W21" s="46">
        <f t="shared" si="1"/>
        <v>22.422165084916955</v>
      </c>
      <c r="X21" s="46">
        <f t="shared" si="2"/>
        <v>24.664381593408649</v>
      </c>
      <c r="Y21" s="46">
        <f t="shared" si="3"/>
        <v>27.130819752749517</v>
      </c>
      <c r="Z21" s="46">
        <f t="shared" si="4"/>
        <v>29.843901728024477</v>
      </c>
      <c r="AA21" s="46">
        <f t="shared" si="5"/>
        <v>32.828291900826926</v>
      </c>
    </row>
    <row r="22" spans="1:27" x14ac:dyDescent="0.2">
      <c r="A22" s="76" t="s">
        <v>146</v>
      </c>
      <c r="B22" s="73">
        <f>B18*((1.025)^13)</f>
        <v>18.928373974109256</v>
      </c>
      <c r="C22" s="73">
        <f t="shared" si="8"/>
        <v>19.407498440328897</v>
      </c>
      <c r="D22" s="73">
        <f>B18*((1.025)^15)</f>
        <v>19.886622906548538</v>
      </c>
      <c r="E22" s="74">
        <f>E18*((1.025)^13)</f>
        <v>20.821209289399253</v>
      </c>
      <c r="F22" s="73">
        <f t="shared" si="9"/>
        <v>21.348246149537172</v>
      </c>
      <c r="G22" s="75">
        <f>E18*((1.025)^15)</f>
        <v>21.875283009675091</v>
      </c>
      <c r="H22" s="73">
        <f>H18*((1.025)^13)</f>
        <v>22.903330218339178</v>
      </c>
      <c r="I22" s="73">
        <f t="shared" si="10"/>
        <v>23.48307076449089</v>
      </c>
      <c r="J22" s="75">
        <f>H18*((1.025)^15)</f>
        <v>24.062811310642601</v>
      </c>
      <c r="K22" s="74">
        <f>K18*((1.025)^13)</f>
        <v>25.193663240173102</v>
      </c>
      <c r="L22" s="73">
        <f t="shared" si="11"/>
        <v>25.831377840939986</v>
      </c>
      <c r="M22" s="75">
        <f>K18*((1.025)^15)</f>
        <v>26.469092441706866</v>
      </c>
      <c r="N22" s="74">
        <f>N18*((1.025)^13)</f>
        <v>27.713029564190418</v>
      </c>
      <c r="O22" s="73">
        <f t="shared" si="12"/>
        <v>28.414515625033985</v>
      </c>
      <c r="P22" s="75">
        <f>N18*((1.025)^15)</f>
        <v>29.116001685877556</v>
      </c>
      <c r="Q22" s="74">
        <f>Q18*((1.025)^13)</f>
        <v>30.48433252060946</v>
      </c>
      <c r="R22" s="73">
        <f t="shared" si="13"/>
        <v>31.255967187537387</v>
      </c>
      <c r="S22" s="75">
        <f>Q18*((1.025)^15)</f>
        <v>32.027601854465317</v>
      </c>
      <c r="T22" s="73"/>
      <c r="U22" s="1">
        <v>17</v>
      </c>
      <c r="V22" s="46">
        <f t="shared" si="0"/>
        <v>20.893383191192545</v>
      </c>
      <c r="W22" s="46">
        <f t="shared" si="1"/>
        <v>22.982719212039878</v>
      </c>
      <c r="X22" s="46">
        <f t="shared" si="2"/>
        <v>25.280991133243862</v>
      </c>
      <c r="Y22" s="46">
        <f t="shared" si="3"/>
        <v>27.809090246568253</v>
      </c>
      <c r="Z22" s="46">
        <f t="shared" si="4"/>
        <v>30.589999271225086</v>
      </c>
      <c r="AA22" s="46">
        <f t="shared" si="5"/>
        <v>33.648999198347596</v>
      </c>
    </row>
    <row r="23" spans="1:27" x14ac:dyDescent="0.2">
      <c r="A23" s="76" t="s">
        <v>147</v>
      </c>
      <c r="B23" s="73">
        <f>B18*((1.025)^16)</f>
        <v>20.383788479212249</v>
      </c>
      <c r="C23" s="73">
        <f t="shared" si="8"/>
        <v>21.441838481170045</v>
      </c>
      <c r="D23" s="73">
        <f>B18*((1.025)^20)</f>
        <v>22.499888483127844</v>
      </c>
      <c r="E23" s="74">
        <f>E18*((1.025)^16)</f>
        <v>22.422165084916966</v>
      </c>
      <c r="F23" s="73">
        <f t="shared" si="9"/>
        <v>23.586019970685051</v>
      </c>
      <c r="G23" s="75">
        <f>E18*((1.025)^20)</f>
        <v>24.74987485645314</v>
      </c>
      <c r="H23" s="74">
        <f>H18*((1.025)^16)</f>
        <v>24.664381593408663</v>
      </c>
      <c r="I23" s="73">
        <f t="shared" si="10"/>
        <v>25.944621967753559</v>
      </c>
      <c r="J23" s="75">
        <f>H18*((1.025)^20)</f>
        <v>27.224862342098454</v>
      </c>
      <c r="K23" s="73">
        <f>K18*((1.025)^16)</f>
        <v>27.130819752749535</v>
      </c>
      <c r="L23" s="73">
        <f t="shared" si="11"/>
        <v>28.539084164528923</v>
      </c>
      <c r="M23" s="75">
        <f>K18*((1.025)^20)</f>
        <v>29.947348576308308</v>
      </c>
      <c r="N23" s="73">
        <f>N18*((1.025)^16)</f>
        <v>29.843901728024495</v>
      </c>
      <c r="O23" s="73">
        <f t="shared" si="12"/>
        <v>31.392992580981819</v>
      </c>
      <c r="P23" s="73">
        <f>N18*((1.025)^20)</f>
        <v>32.942083433939139</v>
      </c>
      <c r="Q23" s="74">
        <f>Q18*((1.025)^16)</f>
        <v>32.828291900826947</v>
      </c>
      <c r="R23" s="73">
        <f t="shared" si="13"/>
        <v>34.532291839080003</v>
      </c>
      <c r="S23" s="75">
        <f>Q18*((1.025)^20)</f>
        <v>36.236291777333058</v>
      </c>
      <c r="T23" s="73"/>
      <c r="U23" s="1">
        <v>18</v>
      </c>
      <c r="V23" s="46">
        <f t="shared" si="0"/>
        <v>21.415717770972357</v>
      </c>
      <c r="W23" s="46">
        <f t="shared" si="1"/>
        <v>23.557287192340873</v>
      </c>
      <c r="X23" s="46">
        <f t="shared" si="2"/>
        <v>25.913015911574956</v>
      </c>
      <c r="Y23" s="46">
        <f t="shared" si="3"/>
        <v>28.504317502732459</v>
      </c>
      <c r="Z23" s="46">
        <f t="shared" si="4"/>
        <v>31.354749253005711</v>
      </c>
      <c r="AA23" s="46">
        <f t="shared" si="5"/>
        <v>34.490224178306285</v>
      </c>
    </row>
    <row r="24" spans="1:27" ht="15" x14ac:dyDescent="0.25">
      <c r="A24" s="44"/>
      <c r="B24" s="36"/>
      <c r="C24" s="46"/>
      <c r="D24" s="36"/>
      <c r="E24" s="81"/>
      <c r="F24" s="81"/>
      <c r="G24" s="81"/>
      <c r="H24" s="81"/>
      <c r="I24" s="73"/>
      <c r="J24" s="73"/>
      <c r="M24" s="40"/>
      <c r="P24" s="1"/>
      <c r="U24" s="1">
        <v>19</v>
      </c>
      <c r="V24" s="46">
        <f t="shared" si="0"/>
        <v>21.951110715246664</v>
      </c>
      <c r="W24" s="46">
        <f t="shared" si="1"/>
        <v>24.146219372149393</v>
      </c>
      <c r="X24" s="46">
        <f t="shared" si="2"/>
        <v>26.560841309364328</v>
      </c>
      <c r="Y24" s="46">
        <f t="shared" si="3"/>
        <v>29.216925440300766</v>
      </c>
      <c r="Z24" s="46">
        <f t="shared" si="4"/>
        <v>32.13861798433085</v>
      </c>
      <c r="AA24" s="46">
        <f t="shared" si="5"/>
        <v>35.352479782763936</v>
      </c>
    </row>
    <row r="25" spans="1:27" ht="15" x14ac:dyDescent="0.25">
      <c r="A25" s="44"/>
      <c r="B25" s="36"/>
      <c r="C25" s="46"/>
      <c r="D25" s="36"/>
      <c r="E25" s="81"/>
      <c r="F25" s="81"/>
      <c r="G25" s="81"/>
      <c r="H25" s="81"/>
      <c r="I25" s="73"/>
      <c r="J25" s="73"/>
      <c r="M25" s="40"/>
      <c r="P25" s="1"/>
      <c r="U25" s="1">
        <v>20</v>
      </c>
      <c r="V25" s="46">
        <f t="shared" si="0"/>
        <v>22.49988848312783</v>
      </c>
      <c r="W25" s="46">
        <f t="shared" si="1"/>
        <v>24.749874856453125</v>
      </c>
      <c r="X25" s="46">
        <f t="shared" si="2"/>
        <v>27.224862342098433</v>
      </c>
      <c r="Y25" s="46">
        <f t="shared" si="3"/>
        <v>29.947348576308283</v>
      </c>
      <c r="Z25" s="46">
        <f t="shared" si="4"/>
        <v>32.942083433939118</v>
      </c>
      <c r="AA25" s="46">
        <f t="shared" si="5"/>
        <v>36.23629177733303</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303</v>
      </c>
      <c r="B28" s="28"/>
      <c r="C28" s="28"/>
      <c r="D28" s="28"/>
      <c r="E28" s="28"/>
      <c r="F28" s="28"/>
      <c r="G28" s="28"/>
      <c r="H28" s="28"/>
      <c r="I28" s="28"/>
      <c r="J28" s="28"/>
      <c r="K28" s="28"/>
      <c r="L28" s="28"/>
      <c r="M28" s="28"/>
      <c r="N28" s="28"/>
      <c r="O28" s="28"/>
      <c r="P28" s="28"/>
      <c r="Q28" s="28"/>
      <c r="R28" s="28"/>
      <c r="S28" s="28"/>
      <c r="V28" s="307" t="s">
        <v>301</v>
      </c>
      <c r="W28" s="307"/>
      <c r="X28" s="307"/>
      <c r="Y28" s="307"/>
      <c r="Z28" s="307"/>
      <c r="AA28" s="307"/>
    </row>
    <row r="29" spans="1:27" ht="15.75" thickBot="1" x14ac:dyDescent="0.3">
      <c r="A29" s="295" t="s">
        <v>135</v>
      </c>
      <c r="B29" s="300" t="s">
        <v>32</v>
      </c>
      <c r="C29" s="279"/>
      <c r="D29" s="279"/>
      <c r="E29" s="279" t="s">
        <v>32</v>
      </c>
      <c r="F29" s="279"/>
      <c r="G29" s="279"/>
      <c r="H29" s="279" t="s">
        <v>33</v>
      </c>
      <c r="I29" s="279"/>
      <c r="J29" s="279"/>
      <c r="K29" s="279" t="s">
        <v>34</v>
      </c>
      <c r="L29" s="279"/>
      <c r="M29" s="279"/>
      <c r="N29" s="279" t="s">
        <v>34</v>
      </c>
      <c r="O29" s="279"/>
      <c r="P29" s="294"/>
      <c r="Q29" s="279" t="s">
        <v>34</v>
      </c>
      <c r="R29" s="279"/>
      <c r="S29" s="294"/>
      <c r="U29" s="1" t="s">
        <v>128</v>
      </c>
      <c r="V29" s="44" t="s">
        <v>129</v>
      </c>
      <c r="W29" s="44" t="s">
        <v>47</v>
      </c>
      <c r="X29" s="44" t="s">
        <v>49</v>
      </c>
      <c r="Y29" s="44" t="s">
        <v>130</v>
      </c>
      <c r="Z29" s="44" t="s">
        <v>131</v>
      </c>
      <c r="AA29" s="44" t="s">
        <v>132</v>
      </c>
    </row>
    <row r="30" spans="1:27" ht="15" x14ac:dyDescent="0.2">
      <c r="A30" s="296"/>
      <c r="B30" s="301" t="s">
        <v>149</v>
      </c>
      <c r="C30" s="302"/>
      <c r="D30" s="308"/>
      <c r="E30" s="291" t="s">
        <v>127</v>
      </c>
      <c r="F30" s="292"/>
      <c r="G30" s="292"/>
      <c r="H30" s="273" t="s">
        <v>42</v>
      </c>
      <c r="I30" s="274"/>
      <c r="J30" s="275"/>
      <c r="K30" s="291" t="s">
        <v>43</v>
      </c>
      <c r="L30" s="292"/>
      <c r="M30" s="293"/>
      <c r="N30" s="291" t="s">
        <v>44</v>
      </c>
      <c r="O30" s="292"/>
      <c r="P30" s="293"/>
      <c r="Q30" s="291" t="s">
        <v>150</v>
      </c>
      <c r="R30" s="292"/>
      <c r="S30" s="293"/>
      <c r="U30" s="1">
        <v>0</v>
      </c>
      <c r="V30" s="46">
        <f>H8</f>
        <v>12.482752871651787</v>
      </c>
      <c r="W30" s="46">
        <f>I8</f>
        <v>13.731026785714286</v>
      </c>
      <c r="X30" s="46">
        <f>K8</f>
        <v>15.104129464285716</v>
      </c>
      <c r="Y30" s="46">
        <f>M8</f>
        <v>16.614542410714289</v>
      </c>
      <c r="Z30" s="46">
        <f>N8</f>
        <v>18.275996651785722</v>
      </c>
      <c r="AA30" s="46">
        <f>O8</f>
        <v>20.103596316964296</v>
      </c>
    </row>
    <row r="31" spans="1:27" ht="15" thickBot="1" x14ac:dyDescent="0.25">
      <c r="A31" s="297"/>
      <c r="B31" s="65" t="s">
        <v>139</v>
      </c>
      <c r="C31" s="66" t="s">
        <v>140</v>
      </c>
      <c r="D31" s="70" t="s">
        <v>141</v>
      </c>
      <c r="E31" s="68" t="s">
        <v>139</v>
      </c>
      <c r="F31" s="68" t="s">
        <v>140</v>
      </c>
      <c r="G31" s="68" t="s">
        <v>141</v>
      </c>
      <c r="H31" s="65" t="s">
        <v>139</v>
      </c>
      <c r="I31" s="66" t="s">
        <v>140</v>
      </c>
      <c r="J31" s="70" t="s">
        <v>141</v>
      </c>
      <c r="K31" s="65" t="s">
        <v>139</v>
      </c>
      <c r="L31" s="66" t="s">
        <v>140</v>
      </c>
      <c r="M31" s="70" t="s">
        <v>141</v>
      </c>
      <c r="N31" s="65" t="s">
        <v>139</v>
      </c>
      <c r="O31" s="66" t="s">
        <v>140</v>
      </c>
      <c r="P31" s="70" t="s">
        <v>141</v>
      </c>
      <c r="Q31" s="65" t="s">
        <v>139</v>
      </c>
      <c r="R31" s="66" t="s">
        <v>140</v>
      </c>
      <c r="S31" s="70" t="s">
        <v>141</v>
      </c>
      <c r="U31" s="1">
        <v>1</v>
      </c>
      <c r="V31" s="46">
        <f t="shared" ref="V31:V50" si="14">V30*1.025</f>
        <v>12.79482169344308</v>
      </c>
      <c r="W31" s="46">
        <f t="shared" ref="W31:W50" si="15">W30*1.025</f>
        <v>14.074302455357142</v>
      </c>
      <c r="X31" s="46">
        <f t="shared" ref="X31:X50" si="16">X30*1.025</f>
        <v>15.481732700892858</v>
      </c>
      <c r="Y31" s="46">
        <f t="shared" ref="Y31:Y50" si="17">Y30*1.025</f>
        <v>17.029905970982146</v>
      </c>
      <c r="Z31" s="46">
        <f t="shared" ref="Z31:Z50" si="18">Z30*1.025</f>
        <v>18.732896568080363</v>
      </c>
      <c r="AA31" s="46">
        <f t="shared" ref="AA31:AA50" si="19">AA30*1.025</f>
        <v>20.6061862248884</v>
      </c>
    </row>
    <row r="32" spans="1:27" x14ac:dyDescent="0.2">
      <c r="A32" s="72" t="s">
        <v>142</v>
      </c>
      <c r="B32" s="73">
        <f>F8</f>
        <v>12.482752871651787</v>
      </c>
      <c r="C32" s="73">
        <f>MEDIAN(B32,D32)</f>
        <v>12.962656206662711</v>
      </c>
      <c r="D32" s="75">
        <f>B32*((1.025)^3)</f>
        <v>13.442559541673637</v>
      </c>
      <c r="E32" s="73">
        <f>I8</f>
        <v>13.731026785714286</v>
      </c>
      <c r="F32" s="73">
        <f>MEDIAN(E32,G32)</f>
        <v>14.258920401436942</v>
      </c>
      <c r="G32" s="73">
        <f>E32*((1.025)^3)</f>
        <v>14.786814017159598</v>
      </c>
      <c r="H32" s="74">
        <f>K8</f>
        <v>15.104129464285716</v>
      </c>
      <c r="I32" s="73">
        <f>MEDIAN(H32,J32)</f>
        <v>15.684812441580638</v>
      </c>
      <c r="J32" s="75">
        <f>H32*((1.025)^3)</f>
        <v>16.26549541887556</v>
      </c>
      <c r="K32" s="74">
        <f>M8</f>
        <v>16.614542410714289</v>
      </c>
      <c r="L32" s="73">
        <f>MEDIAN(K32,M32)</f>
        <v>17.253293685738704</v>
      </c>
      <c r="M32" s="75">
        <f>K32*((1.025)^3)</f>
        <v>17.892044960763116</v>
      </c>
      <c r="N32" s="74">
        <f>N8</f>
        <v>18.275996651785722</v>
      </c>
      <c r="O32" s="73">
        <f>MEDIAN(N32,P32)</f>
        <v>18.978623054312578</v>
      </c>
      <c r="P32" s="75">
        <f>N32*((1.025)^3)</f>
        <v>19.681249456839431</v>
      </c>
      <c r="Q32" s="74">
        <f>O8</f>
        <v>20.103596316964296</v>
      </c>
      <c r="R32" s="73">
        <f>MEDIAN(Q32,S32)</f>
        <v>20.876485359743839</v>
      </c>
      <c r="S32" s="75">
        <f>Q32*((1.025)^3)</f>
        <v>21.649374402523378</v>
      </c>
      <c r="U32" s="1">
        <v>2</v>
      </c>
      <c r="V32" s="46">
        <f t="shared" si="14"/>
        <v>13.114692235779156</v>
      </c>
      <c r="W32" s="46">
        <f t="shared" si="15"/>
        <v>14.426160016741068</v>
      </c>
      <c r="X32" s="46">
        <f t="shared" si="16"/>
        <v>15.868776018415177</v>
      </c>
      <c r="Y32" s="46">
        <f t="shared" si="17"/>
        <v>17.455653620256697</v>
      </c>
      <c r="Z32" s="46">
        <f t="shared" si="18"/>
        <v>19.20121898228237</v>
      </c>
      <c r="AA32" s="46">
        <f t="shared" si="19"/>
        <v>21.121340880510608</v>
      </c>
    </row>
    <row r="33" spans="1:27" x14ac:dyDescent="0.2">
      <c r="A33" s="76" t="s">
        <v>143</v>
      </c>
      <c r="B33" s="73">
        <f>B32*((1.025)^4)</f>
        <v>13.778623530215475</v>
      </c>
      <c r="C33" s="73">
        <f t="shared" ref="C33:C37" si="20">MEDIAN(B33,D33)</f>
        <v>14.127394938324052</v>
      </c>
      <c r="D33" s="75">
        <f>B32*((1.025)^6)</f>
        <v>14.476166346432631</v>
      </c>
      <c r="E33" s="73">
        <f>E32*((1.025)^4)</f>
        <v>15.156484367588586</v>
      </c>
      <c r="F33" s="73">
        <f t="shared" ref="F33:F37" si="21">MEDIAN(E33,G33)</f>
        <v>15.54013287814317</v>
      </c>
      <c r="G33" s="73">
        <f>E32*((1.025)^6)</f>
        <v>15.923781388697755</v>
      </c>
      <c r="H33" s="74">
        <f>H32*((1.025)^4)</f>
        <v>16.672132804347445</v>
      </c>
      <c r="I33" s="73">
        <f t="shared" ref="I33:I37" si="22">MEDIAN(H33,J33)</f>
        <v>17.09414616595749</v>
      </c>
      <c r="J33" s="75">
        <f>H32*((1.025)^6)</f>
        <v>17.516159527567531</v>
      </c>
      <c r="K33" s="74">
        <f>K32*((1.025)^4)</f>
        <v>18.339346084782193</v>
      </c>
      <c r="L33" s="73">
        <f t="shared" ref="L33:L37" si="23">MEDIAN(K33,M33)</f>
        <v>18.803560782553241</v>
      </c>
      <c r="M33" s="75">
        <f>K32*((1.025)^6)</f>
        <v>19.267775480324286</v>
      </c>
      <c r="N33" s="74">
        <f>N32*((1.025)^4)</f>
        <v>20.173280693260416</v>
      </c>
      <c r="O33" s="73">
        <f t="shared" ref="O33:O37" si="24">MEDIAN(N33,P33)</f>
        <v>20.683916860808566</v>
      </c>
      <c r="P33" s="75">
        <f>N32*((1.025)^6)</f>
        <v>21.194553028356719</v>
      </c>
      <c r="Q33" s="74">
        <f>Q32*((1.025)^4)</f>
        <v>22.190608762586457</v>
      </c>
      <c r="R33" s="73">
        <f t="shared" ref="R33:R37" si="25">MEDIAN(Q33,S33)</f>
        <v>22.752308546889424</v>
      </c>
      <c r="S33" s="75">
        <f>Q32*((1.025)^6)</f>
        <v>23.314008331192394</v>
      </c>
      <c r="U33" s="1">
        <v>3</v>
      </c>
      <c r="V33" s="46">
        <f t="shared" si="14"/>
        <v>13.442559541673633</v>
      </c>
      <c r="W33" s="46">
        <f t="shared" si="15"/>
        <v>14.786814017159594</v>
      </c>
      <c r="X33" s="46">
        <f t="shared" si="16"/>
        <v>16.265495418875556</v>
      </c>
      <c r="Y33" s="46">
        <f t="shared" si="17"/>
        <v>17.892044960763112</v>
      </c>
      <c r="Z33" s="46">
        <f t="shared" si="18"/>
        <v>19.681249456839428</v>
      </c>
      <c r="AA33" s="46">
        <f t="shared" si="19"/>
        <v>21.649374402523371</v>
      </c>
    </row>
    <row r="34" spans="1:27" x14ac:dyDescent="0.2">
      <c r="A34" s="76" t="s">
        <v>144</v>
      </c>
      <c r="B34" s="73">
        <f>B32*((1.025)^7)</f>
        <v>14.838070505093448</v>
      </c>
      <c r="C34" s="73">
        <f t="shared" si="20"/>
        <v>15.213659164753624</v>
      </c>
      <c r="D34" s="75">
        <f>B32*((1.025)^9)</f>
        <v>15.5892478244138</v>
      </c>
      <c r="E34" s="73">
        <f>E32*((1.025)^7)</f>
        <v>16.321875923415199</v>
      </c>
      <c r="F34" s="73">
        <f t="shared" si="21"/>
        <v>16.735023407726644</v>
      </c>
      <c r="G34" s="73">
        <f>E32*((1.025)^9)</f>
        <v>17.148170892038092</v>
      </c>
      <c r="H34" s="74">
        <f>H32*((1.025)^7)</f>
        <v>17.954063515756722</v>
      </c>
      <c r="I34" s="73">
        <f t="shared" si="22"/>
        <v>18.408525748499311</v>
      </c>
      <c r="J34" s="75">
        <f>H32*((1.025)^9)</f>
        <v>18.862987981241901</v>
      </c>
      <c r="K34" s="74">
        <f>K32*((1.025)^7)</f>
        <v>19.749469867332394</v>
      </c>
      <c r="L34" s="73">
        <f t="shared" si="23"/>
        <v>20.249378323349241</v>
      </c>
      <c r="M34" s="75">
        <f>K32*((1.025)^9)</f>
        <v>20.749286779366091</v>
      </c>
      <c r="N34" s="74">
        <f>N32*((1.025)^7)</f>
        <v>21.724416854065637</v>
      </c>
      <c r="O34" s="73">
        <f t="shared" si="24"/>
        <v>22.274316155684172</v>
      </c>
      <c r="P34" s="75">
        <f>N32*((1.025)^9)</f>
        <v>22.824215457302707</v>
      </c>
      <c r="Q34" s="74">
        <f>Q32*((1.025)^7)</f>
        <v>23.896858539472206</v>
      </c>
      <c r="R34" s="73">
        <f t="shared" si="25"/>
        <v>24.501747771252592</v>
      </c>
      <c r="S34" s="75">
        <f>Q32*((1.025)^9)</f>
        <v>25.106637003032979</v>
      </c>
      <c r="U34" s="1">
        <v>4</v>
      </c>
      <c r="V34" s="46">
        <f t="shared" si="14"/>
        <v>13.778623530215473</v>
      </c>
      <c r="W34" s="46">
        <f t="shared" si="15"/>
        <v>15.156484367588583</v>
      </c>
      <c r="X34" s="46">
        <f t="shared" si="16"/>
        <v>16.672132804347445</v>
      </c>
      <c r="Y34" s="46">
        <f t="shared" si="17"/>
        <v>18.339346084782189</v>
      </c>
      <c r="Z34" s="46">
        <f t="shared" si="18"/>
        <v>20.173280693260413</v>
      </c>
      <c r="AA34" s="46">
        <f t="shared" si="19"/>
        <v>22.190608762586454</v>
      </c>
    </row>
    <row r="35" spans="1:27" x14ac:dyDescent="0.2">
      <c r="A35" s="76" t="s">
        <v>145</v>
      </c>
      <c r="B35" s="73">
        <f>B32*((1.025)^10)</f>
        <v>15.978979020024145</v>
      </c>
      <c r="C35" s="73">
        <f t="shared" si="20"/>
        <v>16.383446926468505</v>
      </c>
      <c r="D35" s="75">
        <f>B32*((1.025)^12)</f>
        <v>16.787914832912865</v>
      </c>
      <c r="E35" s="73">
        <f>E32*((1.025)^10)</f>
        <v>17.576875164339043</v>
      </c>
      <c r="F35" s="73">
        <f t="shared" si="21"/>
        <v>18.021789816936376</v>
      </c>
      <c r="G35" s="73">
        <f>E32*((1.025)^12)</f>
        <v>18.466704469533706</v>
      </c>
      <c r="H35" s="74">
        <f>H32*((1.025)^10)</f>
        <v>19.334562680772947</v>
      </c>
      <c r="I35" s="73">
        <f t="shared" si="22"/>
        <v>19.823968798630013</v>
      </c>
      <c r="J35" s="75">
        <f>H32*((1.025)^12)</f>
        <v>20.313374916487078</v>
      </c>
      <c r="K35" s="74">
        <f>K32*((1.025)^10)</f>
        <v>21.268018948850244</v>
      </c>
      <c r="L35" s="73">
        <f t="shared" si="23"/>
        <v>21.806365678493016</v>
      </c>
      <c r="M35" s="75">
        <f>K32*((1.025)^12)</f>
        <v>22.344712408135788</v>
      </c>
      <c r="N35" s="74">
        <f>N32*((1.025)^10)</f>
        <v>23.394820843735275</v>
      </c>
      <c r="O35" s="73">
        <f t="shared" si="24"/>
        <v>23.987002246342321</v>
      </c>
      <c r="P35" s="75">
        <f>N32*((1.025)^12)</f>
        <v>24.579183648949368</v>
      </c>
      <c r="Q35" s="74">
        <f>Q32*((1.025)^10)</f>
        <v>25.734302928108804</v>
      </c>
      <c r="R35" s="73">
        <f t="shared" si="25"/>
        <v>26.385702470976554</v>
      </c>
      <c r="S35" s="75">
        <f>Q32*((1.025)^12)</f>
        <v>27.037102013844308</v>
      </c>
      <c r="U35" s="1">
        <v>5</v>
      </c>
      <c r="V35" s="46">
        <f t="shared" si="14"/>
        <v>14.123089118470858</v>
      </c>
      <c r="W35" s="46">
        <f t="shared" si="15"/>
        <v>15.535396476778295</v>
      </c>
      <c r="X35" s="46">
        <f t="shared" si="16"/>
        <v>17.088936124456129</v>
      </c>
      <c r="Y35" s="46">
        <f t="shared" si="17"/>
        <v>18.797829736901743</v>
      </c>
      <c r="Z35" s="46">
        <f t="shared" si="18"/>
        <v>20.677612710591923</v>
      </c>
      <c r="AA35" s="46">
        <f t="shared" si="19"/>
        <v>22.745373981651113</v>
      </c>
    </row>
    <row r="36" spans="1:27" x14ac:dyDescent="0.2">
      <c r="A36" s="76" t="s">
        <v>146</v>
      </c>
      <c r="B36" s="73">
        <f>B32*((1.025)^13)</f>
        <v>17.207612703735688</v>
      </c>
      <c r="C36" s="73">
        <f t="shared" si="20"/>
        <v>17.643180400298995</v>
      </c>
      <c r="D36" s="73">
        <f>B32*((1.025)^15)</f>
        <v>18.078748096862306</v>
      </c>
      <c r="E36" s="74">
        <f>E32*((1.025)^13)</f>
        <v>18.928372081272048</v>
      </c>
      <c r="F36" s="73">
        <f t="shared" si="21"/>
        <v>19.407496499579246</v>
      </c>
      <c r="G36" s="75">
        <f>E32*((1.025)^15)</f>
        <v>19.886620917886443</v>
      </c>
      <c r="H36" s="73">
        <f>H32*((1.025)^13)</f>
        <v>20.821209289399253</v>
      </c>
      <c r="I36" s="73">
        <f t="shared" si="22"/>
        <v>21.348246149537172</v>
      </c>
      <c r="J36" s="75">
        <f>H32*((1.025)^15)</f>
        <v>21.875283009675091</v>
      </c>
      <c r="K36" s="74">
        <f>K32*((1.025)^13)</f>
        <v>22.903330218339178</v>
      </c>
      <c r="L36" s="73">
        <f t="shared" si="23"/>
        <v>23.48307076449089</v>
      </c>
      <c r="M36" s="75">
        <f>K32*((1.025)^15)</f>
        <v>24.062811310642601</v>
      </c>
      <c r="N36" s="74">
        <f>N32*((1.025)^13)</f>
        <v>25.193663240173102</v>
      </c>
      <c r="O36" s="73">
        <f t="shared" si="24"/>
        <v>25.831377840939986</v>
      </c>
      <c r="P36" s="75">
        <f>N32*((1.025)^15)</f>
        <v>26.469092441706866</v>
      </c>
      <c r="Q36" s="74">
        <f>Q32*((1.025)^13)</f>
        <v>27.713029564190418</v>
      </c>
      <c r="R36" s="73">
        <f t="shared" si="25"/>
        <v>28.414515625033985</v>
      </c>
      <c r="S36" s="75">
        <f>Q32*((1.025)^15)</f>
        <v>29.116001685877556</v>
      </c>
      <c r="T36" s="46"/>
      <c r="U36" s="1">
        <v>6</v>
      </c>
      <c r="V36" s="46">
        <f t="shared" si="14"/>
        <v>14.476166346432628</v>
      </c>
      <c r="W36" s="46">
        <f t="shared" si="15"/>
        <v>15.923781388697751</v>
      </c>
      <c r="X36" s="46">
        <f t="shared" si="16"/>
        <v>17.516159527567531</v>
      </c>
      <c r="Y36" s="46">
        <f t="shared" si="17"/>
        <v>19.267775480324286</v>
      </c>
      <c r="Z36" s="46">
        <f t="shared" si="18"/>
        <v>21.194553028356719</v>
      </c>
      <c r="AA36" s="46">
        <f t="shared" si="19"/>
        <v>23.31400833119239</v>
      </c>
    </row>
    <row r="37" spans="1:27" x14ac:dyDescent="0.2">
      <c r="A37" s="76" t="s">
        <v>147</v>
      </c>
      <c r="B37" s="73">
        <f>B32*((1.025)^16)</f>
        <v>18.530716799283862</v>
      </c>
      <c r="C37" s="73">
        <f t="shared" si="20"/>
        <v>19.492580437427314</v>
      </c>
      <c r="D37" s="73">
        <f>B32*((1.025)^20)</f>
        <v>20.454444075570763</v>
      </c>
      <c r="E37" s="74">
        <f>E32*((1.025)^16)</f>
        <v>20.383786440833603</v>
      </c>
      <c r="F37" s="73">
        <f t="shared" si="21"/>
        <v>21.441836336986409</v>
      </c>
      <c r="G37" s="75">
        <f>E32*((1.025)^20)</f>
        <v>22.499886233139215</v>
      </c>
      <c r="H37" s="74">
        <f>H32*((1.025)^16)</f>
        <v>22.422165084916966</v>
      </c>
      <c r="I37" s="73">
        <f t="shared" si="22"/>
        <v>23.586019970685051</v>
      </c>
      <c r="J37" s="75">
        <f>H32*((1.025)^20)</f>
        <v>24.74987485645314</v>
      </c>
      <c r="K37" s="73">
        <f>K32*((1.025)^16)</f>
        <v>24.664381593408663</v>
      </c>
      <c r="L37" s="73">
        <f t="shared" si="23"/>
        <v>25.944621967753559</v>
      </c>
      <c r="M37" s="75">
        <f>K32*((1.025)^20)</f>
        <v>27.224862342098454</v>
      </c>
      <c r="N37" s="73">
        <f>N32*((1.025)^16)</f>
        <v>27.130819752749535</v>
      </c>
      <c r="O37" s="73">
        <f t="shared" si="24"/>
        <v>28.539084164528923</v>
      </c>
      <c r="P37" s="73">
        <f>N32*((1.025)^20)</f>
        <v>29.947348576308308</v>
      </c>
      <c r="Q37" s="74">
        <f>Q32*((1.025)^16)</f>
        <v>29.843901728024495</v>
      </c>
      <c r="R37" s="73">
        <f t="shared" si="25"/>
        <v>31.392992580981819</v>
      </c>
      <c r="S37" s="75">
        <f>Q32*((1.025)^20)</f>
        <v>32.942083433939139</v>
      </c>
      <c r="U37" s="1">
        <v>7</v>
      </c>
      <c r="V37" s="46">
        <f t="shared" si="14"/>
        <v>14.838070505093443</v>
      </c>
      <c r="W37" s="46">
        <f t="shared" si="15"/>
        <v>16.321875923415195</v>
      </c>
      <c r="X37" s="46">
        <f t="shared" si="16"/>
        <v>17.954063515756719</v>
      </c>
      <c r="Y37" s="46">
        <f t="shared" si="17"/>
        <v>19.74946986733239</v>
      </c>
      <c r="Z37" s="46">
        <f t="shared" si="18"/>
        <v>21.724416854065634</v>
      </c>
      <c r="AA37" s="46">
        <f t="shared" si="19"/>
        <v>23.896858539472198</v>
      </c>
    </row>
    <row r="38" spans="1:27" ht="15" x14ac:dyDescent="0.25">
      <c r="A38" s="44"/>
      <c r="B38" s="36"/>
      <c r="C38" s="46"/>
      <c r="D38" s="36"/>
      <c r="E38" s="81"/>
      <c r="F38" s="81"/>
      <c r="G38" s="81"/>
      <c r="H38" s="81"/>
      <c r="I38" s="73"/>
      <c r="J38" s="73"/>
      <c r="M38" s="40"/>
      <c r="P38" s="1"/>
      <c r="U38" s="1">
        <v>8</v>
      </c>
      <c r="V38" s="46">
        <f t="shared" si="14"/>
        <v>15.209022267720778</v>
      </c>
      <c r="W38" s="46">
        <f t="shared" si="15"/>
        <v>16.729922821500573</v>
      </c>
      <c r="X38" s="46">
        <f t="shared" si="16"/>
        <v>18.402915103650635</v>
      </c>
      <c r="Y38" s="46">
        <f t="shared" si="17"/>
        <v>20.243206614015698</v>
      </c>
      <c r="Z38" s="46">
        <f t="shared" si="18"/>
        <v>22.267527275417272</v>
      </c>
      <c r="AA38" s="46">
        <f t="shared" si="19"/>
        <v>24.494280002959002</v>
      </c>
    </row>
    <row r="39" spans="1:27" x14ac:dyDescent="0.2">
      <c r="O39" s="40"/>
      <c r="P39" s="1"/>
      <c r="U39" s="1">
        <v>9</v>
      </c>
      <c r="V39" s="46">
        <f t="shared" si="14"/>
        <v>15.589247824413796</v>
      </c>
      <c r="W39" s="46">
        <f t="shared" si="15"/>
        <v>17.148170892038085</v>
      </c>
      <c r="X39" s="46">
        <f t="shared" si="16"/>
        <v>18.862987981241901</v>
      </c>
      <c r="Y39" s="46">
        <f t="shared" si="17"/>
        <v>20.749286779366088</v>
      </c>
      <c r="Z39" s="46">
        <f t="shared" si="18"/>
        <v>22.824215457302703</v>
      </c>
      <c r="AA39" s="46">
        <f t="shared" si="19"/>
        <v>25.106637003032976</v>
      </c>
    </row>
    <row r="40" spans="1:27" x14ac:dyDescent="0.2">
      <c r="U40" s="1">
        <v>10</v>
      </c>
      <c r="V40" s="46">
        <f t="shared" si="14"/>
        <v>15.97897902002414</v>
      </c>
      <c r="W40" s="46">
        <f t="shared" si="15"/>
        <v>17.576875164339036</v>
      </c>
      <c r="X40" s="46">
        <f t="shared" si="16"/>
        <v>19.334562680772947</v>
      </c>
      <c r="Y40" s="46">
        <f t="shared" si="17"/>
        <v>21.268018948850237</v>
      </c>
      <c r="Z40" s="46">
        <f t="shared" si="18"/>
        <v>23.394820843735268</v>
      </c>
      <c r="AA40" s="46">
        <f t="shared" si="19"/>
        <v>25.734302928108796</v>
      </c>
    </row>
    <row r="41" spans="1:27" x14ac:dyDescent="0.2">
      <c r="U41" s="1">
        <v>11</v>
      </c>
      <c r="V41" s="46">
        <f t="shared" si="14"/>
        <v>16.378453495524742</v>
      </c>
      <c r="W41" s="46">
        <f t="shared" si="15"/>
        <v>18.016297043447512</v>
      </c>
      <c r="X41" s="46">
        <f t="shared" si="16"/>
        <v>19.817926747792271</v>
      </c>
      <c r="Y41" s="46">
        <f t="shared" si="17"/>
        <v>21.799719422571492</v>
      </c>
      <c r="Z41" s="46">
        <f t="shared" si="18"/>
        <v>23.979691364828646</v>
      </c>
      <c r="AA41" s="46">
        <f t="shared" si="19"/>
        <v>26.377660501311514</v>
      </c>
    </row>
    <row r="42" spans="1:27" x14ac:dyDescent="0.2">
      <c r="D42" s="83"/>
      <c r="U42" s="1">
        <v>12</v>
      </c>
      <c r="V42" s="46">
        <f t="shared" si="14"/>
        <v>16.787914832912858</v>
      </c>
      <c r="W42" s="46">
        <f t="shared" si="15"/>
        <v>18.466704469533699</v>
      </c>
      <c r="X42" s="46">
        <f t="shared" si="16"/>
        <v>20.313374916487074</v>
      </c>
      <c r="Y42" s="46">
        <f t="shared" si="17"/>
        <v>22.344712408135777</v>
      </c>
      <c r="Z42" s="46">
        <f t="shared" si="18"/>
        <v>24.57918364894936</v>
      </c>
      <c r="AA42" s="46">
        <f t="shared" si="19"/>
        <v>27.037102013844301</v>
      </c>
    </row>
    <row r="43" spans="1:27" x14ac:dyDescent="0.2">
      <c r="D43" s="83"/>
      <c r="G43" s="35"/>
      <c r="U43" s="1">
        <v>13</v>
      </c>
      <c r="V43" s="46">
        <f t="shared" si="14"/>
        <v>17.207612703735677</v>
      </c>
      <c r="W43" s="46">
        <f t="shared" si="15"/>
        <v>18.928372081272041</v>
      </c>
      <c r="X43" s="46">
        <f t="shared" si="16"/>
        <v>20.821209289399249</v>
      </c>
      <c r="Y43" s="46">
        <f t="shared" si="17"/>
        <v>22.903330218339171</v>
      </c>
      <c r="Z43" s="46">
        <f t="shared" si="18"/>
        <v>25.193663240173091</v>
      </c>
      <c r="AA43" s="46">
        <f t="shared" si="19"/>
        <v>27.713029564190407</v>
      </c>
    </row>
    <row r="44" spans="1:27" x14ac:dyDescent="0.2">
      <c r="D44" s="83"/>
      <c r="U44" s="1">
        <v>14</v>
      </c>
      <c r="V44" s="46">
        <f t="shared" si="14"/>
        <v>17.637803021329066</v>
      </c>
      <c r="W44" s="46">
        <f t="shared" si="15"/>
        <v>19.401581383303842</v>
      </c>
      <c r="X44" s="46">
        <f t="shared" si="16"/>
        <v>21.341739521634228</v>
      </c>
      <c r="Y44" s="46">
        <f t="shared" si="17"/>
        <v>23.475913473797647</v>
      </c>
      <c r="Z44" s="46">
        <f t="shared" si="18"/>
        <v>25.823504821177416</v>
      </c>
      <c r="AA44" s="46">
        <f t="shared" si="19"/>
        <v>28.405855303295166</v>
      </c>
    </row>
    <row r="45" spans="1:27" x14ac:dyDescent="0.2">
      <c r="U45" s="1">
        <v>15</v>
      </c>
      <c r="V45" s="46">
        <f t="shared" si="14"/>
        <v>18.078748096862292</v>
      </c>
      <c r="W45" s="46">
        <f t="shared" si="15"/>
        <v>19.886620917886436</v>
      </c>
      <c r="X45" s="46">
        <f t="shared" si="16"/>
        <v>21.87528300967508</v>
      </c>
      <c r="Y45" s="46">
        <f t="shared" si="17"/>
        <v>24.062811310642587</v>
      </c>
      <c r="Z45" s="46">
        <f t="shared" si="18"/>
        <v>26.469092441706849</v>
      </c>
      <c r="AA45" s="46">
        <f t="shared" si="19"/>
        <v>29.116001685877542</v>
      </c>
    </row>
    <row r="46" spans="1:27" x14ac:dyDescent="0.2">
      <c r="U46" s="1">
        <v>16</v>
      </c>
      <c r="V46" s="46">
        <f t="shared" si="14"/>
        <v>18.530716799283848</v>
      </c>
      <c r="W46" s="46">
        <f t="shared" si="15"/>
        <v>20.383786440833596</v>
      </c>
      <c r="X46" s="46">
        <f t="shared" si="16"/>
        <v>22.422165084916955</v>
      </c>
      <c r="Y46" s="46">
        <f t="shared" si="17"/>
        <v>24.664381593408649</v>
      </c>
      <c r="Z46" s="46">
        <f t="shared" si="18"/>
        <v>27.130819752749517</v>
      </c>
      <c r="AA46" s="46">
        <f t="shared" si="19"/>
        <v>29.843901728024477</v>
      </c>
    </row>
    <row r="47" spans="1:27" x14ac:dyDescent="0.2">
      <c r="U47" s="1">
        <v>17</v>
      </c>
      <c r="V47" s="46">
        <f t="shared" si="14"/>
        <v>18.993984719265942</v>
      </c>
      <c r="W47" s="46">
        <f t="shared" si="15"/>
        <v>20.893381101854434</v>
      </c>
      <c r="X47" s="46">
        <f t="shared" si="16"/>
        <v>22.982719212039878</v>
      </c>
      <c r="Y47" s="46">
        <f t="shared" si="17"/>
        <v>25.280991133243862</v>
      </c>
      <c r="Z47" s="46">
        <f t="shared" si="18"/>
        <v>27.809090246568253</v>
      </c>
      <c r="AA47" s="46">
        <f t="shared" si="19"/>
        <v>30.589999271225086</v>
      </c>
    </row>
    <row r="48" spans="1:27" x14ac:dyDescent="0.2">
      <c r="U48" s="1">
        <v>18</v>
      </c>
      <c r="V48" s="46">
        <f t="shared" si="14"/>
        <v>19.468834337247589</v>
      </c>
      <c r="W48" s="46">
        <f t="shared" si="15"/>
        <v>21.415715629400793</v>
      </c>
      <c r="X48" s="46">
        <f t="shared" si="16"/>
        <v>23.557287192340873</v>
      </c>
      <c r="Y48" s="46">
        <f t="shared" si="17"/>
        <v>25.913015911574956</v>
      </c>
      <c r="Z48" s="46">
        <f t="shared" si="18"/>
        <v>28.504317502732459</v>
      </c>
      <c r="AA48" s="46">
        <f t="shared" si="19"/>
        <v>31.354749253005711</v>
      </c>
    </row>
    <row r="49" spans="21:27" x14ac:dyDescent="0.2">
      <c r="U49" s="1">
        <v>19</v>
      </c>
      <c r="V49" s="46">
        <f t="shared" si="14"/>
        <v>19.955555195678777</v>
      </c>
      <c r="W49" s="46">
        <f t="shared" si="15"/>
        <v>21.951108520135811</v>
      </c>
      <c r="X49" s="46">
        <f t="shared" si="16"/>
        <v>24.146219372149393</v>
      </c>
      <c r="Y49" s="46">
        <f t="shared" si="17"/>
        <v>26.560841309364328</v>
      </c>
      <c r="Z49" s="46">
        <f t="shared" si="18"/>
        <v>29.216925440300766</v>
      </c>
      <c r="AA49" s="46">
        <f t="shared" si="19"/>
        <v>32.13861798433085</v>
      </c>
    </row>
    <row r="50" spans="21:27" x14ac:dyDescent="0.2">
      <c r="U50" s="1">
        <v>20</v>
      </c>
      <c r="V50" s="46">
        <f t="shared" si="14"/>
        <v>20.454444075570745</v>
      </c>
      <c r="W50" s="46">
        <f t="shared" si="15"/>
        <v>22.499886233139204</v>
      </c>
      <c r="X50" s="46">
        <f t="shared" si="16"/>
        <v>24.749874856453125</v>
      </c>
      <c r="Y50" s="46">
        <f t="shared" si="17"/>
        <v>27.224862342098433</v>
      </c>
      <c r="Z50" s="46">
        <f t="shared" si="18"/>
        <v>29.947348576308283</v>
      </c>
      <c r="AA50" s="46">
        <f t="shared" si="19"/>
        <v>32.942083433939118</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9" t="s">
        <v>304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26" ht="15.75" x14ac:dyDescent="0.25">
      <c r="A2" s="222" t="s">
        <v>381</v>
      </c>
    </row>
    <row r="3" spans="1:26" x14ac:dyDescent="0.25">
      <c r="A3" s="12">
        <v>785</v>
      </c>
    </row>
    <row r="4" spans="1:26" ht="20.25" x14ac:dyDescent="0.3">
      <c r="A4" s="171"/>
      <c r="B4" s="171"/>
      <c r="C4" s="171"/>
      <c r="D4" s="171"/>
      <c r="E4" s="171"/>
      <c r="F4" s="171"/>
      <c r="G4" s="171"/>
      <c r="H4" s="171"/>
      <c r="I4" s="171"/>
      <c r="J4" s="171"/>
      <c r="K4" s="171"/>
      <c r="L4" s="171"/>
      <c r="M4" s="171"/>
      <c r="N4" s="171"/>
      <c r="O4" s="171"/>
    </row>
    <row r="5" spans="1:26" ht="15.75" x14ac:dyDescent="0.25">
      <c r="A5" s="314" t="s">
        <v>152</v>
      </c>
      <c r="B5" s="314"/>
      <c r="C5" s="314"/>
      <c r="E5" s="314" t="s">
        <v>153</v>
      </c>
      <c r="F5" s="314"/>
      <c r="G5" s="314"/>
      <c r="I5" s="314" t="s">
        <v>154</v>
      </c>
      <c r="J5" s="314"/>
      <c r="K5" s="314"/>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42</v>
      </c>
      <c r="C7" s="19">
        <f>B7/A3</f>
        <v>5.3503184713375798E-2</v>
      </c>
      <c r="E7" s="23" t="s">
        <v>162</v>
      </c>
      <c r="F7" s="18"/>
      <c r="G7" s="19">
        <v>0.11700000000000001</v>
      </c>
      <c r="I7" s="23" t="s">
        <v>163</v>
      </c>
      <c r="J7" s="18">
        <v>644</v>
      </c>
      <c r="K7" s="19">
        <f>J7/A3</f>
        <v>0.82038216560509558</v>
      </c>
      <c r="M7" s="23" t="s">
        <v>164</v>
      </c>
      <c r="N7" s="18">
        <v>48</v>
      </c>
      <c r="O7" s="19">
        <f>N7/A3</f>
        <v>6.1146496815286625E-2</v>
      </c>
    </row>
    <row r="8" spans="1:26" x14ac:dyDescent="0.25">
      <c r="A8" s="20" t="s">
        <v>165</v>
      </c>
      <c r="B8" s="21">
        <v>192</v>
      </c>
      <c r="C8" s="22">
        <f>B8/A3</f>
        <v>0.2445859872611465</v>
      </c>
      <c r="E8" s="24" t="s">
        <v>166</v>
      </c>
      <c r="F8" s="21"/>
      <c r="G8" s="19">
        <v>0.32</v>
      </c>
      <c r="I8" s="24" t="s">
        <v>167</v>
      </c>
      <c r="J8" s="21">
        <v>74</v>
      </c>
      <c r="K8" s="19">
        <f>J8/A3</f>
        <v>9.4267515923566886E-2</v>
      </c>
      <c r="M8" s="24" t="s">
        <v>168</v>
      </c>
      <c r="N8" s="21">
        <v>737</v>
      </c>
      <c r="O8" s="22">
        <f>N8/A3</f>
        <v>0.93885350318471339</v>
      </c>
    </row>
    <row r="9" spans="1:26" x14ac:dyDescent="0.25">
      <c r="A9" s="20" t="s">
        <v>169</v>
      </c>
      <c r="B9" s="21">
        <v>143</v>
      </c>
      <c r="C9" s="22">
        <f>B9/A3</f>
        <v>0.18216560509554139</v>
      </c>
      <c r="E9" s="24" t="s">
        <v>170</v>
      </c>
      <c r="F9" s="21"/>
      <c r="G9" s="19">
        <v>0.254</v>
      </c>
      <c r="I9" s="24" t="s">
        <v>171</v>
      </c>
      <c r="J9" s="21">
        <v>30</v>
      </c>
      <c r="K9" s="19">
        <f>J9/A3</f>
        <v>3.8216560509554139E-2</v>
      </c>
    </row>
    <row r="10" spans="1:26" x14ac:dyDescent="0.25">
      <c r="A10" s="20" t="s">
        <v>172</v>
      </c>
      <c r="B10" s="21">
        <v>130</v>
      </c>
      <c r="C10" s="22">
        <f>B10/A3</f>
        <v>0.16560509554140126</v>
      </c>
      <c r="E10" s="24" t="s">
        <v>173</v>
      </c>
      <c r="F10" s="21"/>
      <c r="G10" s="19">
        <v>0.113</v>
      </c>
      <c r="I10" s="24" t="s">
        <v>174</v>
      </c>
      <c r="J10" s="21">
        <v>24</v>
      </c>
      <c r="K10" s="19">
        <f>J10/A3</f>
        <v>3.0573248407643312E-2</v>
      </c>
    </row>
    <row r="11" spans="1:26" x14ac:dyDescent="0.25">
      <c r="A11" s="20" t="s">
        <v>175</v>
      </c>
      <c r="B11" s="21">
        <v>130</v>
      </c>
      <c r="C11" s="22">
        <f>B11/A3</f>
        <v>0.16560509554140126</v>
      </c>
      <c r="E11" s="24" t="s">
        <v>176</v>
      </c>
      <c r="F11" s="21"/>
      <c r="G11" s="19">
        <v>0.159</v>
      </c>
      <c r="I11" s="24" t="s">
        <v>177</v>
      </c>
      <c r="J11" s="21">
        <v>8</v>
      </c>
      <c r="K11" s="19">
        <f>J11/A3</f>
        <v>1.019108280254777E-2</v>
      </c>
    </row>
    <row r="12" spans="1:26" x14ac:dyDescent="0.25">
      <c r="A12" s="20" t="s">
        <v>178</v>
      </c>
      <c r="B12" s="21">
        <v>93</v>
      </c>
      <c r="C12" s="22">
        <f>B12/A3</f>
        <v>0.11847133757961784</v>
      </c>
      <c r="E12" s="24" t="s">
        <v>179</v>
      </c>
      <c r="F12" s="21"/>
      <c r="G12" s="19">
        <v>3.1E-2</v>
      </c>
      <c r="I12" s="24" t="s">
        <v>180</v>
      </c>
      <c r="J12" s="21">
        <v>6</v>
      </c>
      <c r="K12" s="19">
        <f>J12/A3</f>
        <v>7.6433121019108281E-3</v>
      </c>
    </row>
    <row r="13" spans="1:26" x14ac:dyDescent="0.25">
      <c r="A13" s="20" t="s">
        <v>181</v>
      </c>
      <c r="B13" s="21">
        <v>54</v>
      </c>
      <c r="C13" s="22">
        <f>B13/A3</f>
        <v>6.8789808917197451E-2</v>
      </c>
      <c r="E13" s="24" t="s">
        <v>182</v>
      </c>
      <c r="F13" s="21"/>
      <c r="G13" s="19">
        <v>6.0000000000000001E-3</v>
      </c>
      <c r="I13" s="24" t="s">
        <v>183</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3" zoomScaleNormal="100" workbookViewId="0">
      <selection activeCell="B14" sqref="B14"/>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39"/>
      <c r="B1" s="239"/>
      <c r="C1" s="239"/>
      <c r="D1" s="239"/>
      <c r="E1" s="239"/>
      <c r="F1" s="239"/>
      <c r="G1" s="239"/>
      <c r="H1" s="239"/>
      <c r="I1" s="239"/>
      <c r="J1" s="239"/>
      <c r="K1" s="239"/>
      <c r="L1" s="239"/>
      <c r="M1" s="239"/>
      <c r="N1" s="239"/>
      <c r="O1" s="239"/>
      <c r="P1" s="239"/>
    </row>
    <row r="2" spans="1:17" x14ac:dyDescent="0.2">
      <c r="A2" s="38"/>
    </row>
    <row r="3" spans="1:17" ht="15" x14ac:dyDescent="0.25">
      <c r="A3" s="15" t="s">
        <v>25</v>
      </c>
    </row>
    <row r="4" spans="1:17" ht="80.25" customHeight="1" x14ac:dyDescent="0.2">
      <c r="A4" s="258" t="s">
        <v>26</v>
      </c>
      <c r="B4" s="258"/>
      <c r="C4" s="258"/>
      <c r="D4" s="258"/>
      <c r="E4" s="258"/>
      <c r="F4" s="258"/>
      <c r="G4" s="258"/>
      <c r="H4" s="258"/>
      <c r="I4" s="258"/>
      <c r="J4" s="258"/>
      <c r="K4" s="258"/>
      <c r="L4" s="258"/>
      <c r="M4" s="258"/>
      <c r="N4" s="258"/>
      <c r="O4" s="258"/>
      <c r="P4" s="258"/>
    </row>
    <row r="5" spans="1:17" ht="96.75" customHeight="1" x14ac:dyDescent="0.2">
      <c r="A5" s="258"/>
      <c r="B5" s="258"/>
      <c r="C5" s="258"/>
      <c r="D5" s="258"/>
      <c r="E5" s="258"/>
      <c r="F5" s="258"/>
      <c r="G5" s="258"/>
      <c r="H5" s="258"/>
      <c r="I5" s="258"/>
      <c r="J5" s="258"/>
      <c r="K5" s="258"/>
      <c r="L5" s="258"/>
      <c r="M5" s="258"/>
      <c r="N5" s="258"/>
      <c r="O5" s="258"/>
      <c r="P5" s="258"/>
    </row>
    <row r="6" spans="1:17" ht="15" thickBot="1" x14ac:dyDescent="0.25"/>
    <row r="7" spans="1:17" ht="15.75" thickBot="1" x14ac:dyDescent="0.3">
      <c r="A7" s="240" t="s">
        <v>27</v>
      </c>
      <c r="B7" s="241"/>
      <c r="C7" s="241"/>
      <c r="D7" s="241"/>
      <c r="E7" s="241"/>
      <c r="F7" s="241"/>
      <c r="G7" s="241"/>
      <c r="H7" s="241"/>
      <c r="I7" s="241"/>
      <c r="J7" s="241"/>
      <c r="K7" s="241"/>
      <c r="L7" s="241"/>
      <c r="M7" s="241"/>
      <c r="N7" s="241"/>
      <c r="O7" s="241"/>
      <c r="P7" s="242"/>
      <c r="Q7" s="105"/>
    </row>
    <row r="8" spans="1:17" ht="15.75" customHeight="1" thickBot="1" x14ac:dyDescent="0.3">
      <c r="A8" s="243" t="s">
        <v>28</v>
      </c>
      <c r="B8" s="259" t="s">
        <v>29</v>
      </c>
      <c r="C8" s="260"/>
      <c r="D8" s="246" t="s">
        <v>30</v>
      </c>
      <c r="E8" s="249" t="s">
        <v>31</v>
      </c>
      <c r="F8" s="41" t="s">
        <v>32</v>
      </c>
      <c r="G8" s="42" t="s">
        <v>32</v>
      </c>
      <c r="H8" s="42" t="s">
        <v>32</v>
      </c>
      <c r="I8" s="235" t="s">
        <v>32</v>
      </c>
      <c r="J8" s="235"/>
      <c r="K8" s="235" t="s">
        <v>33</v>
      </c>
      <c r="L8" s="235"/>
      <c r="M8" s="42" t="s">
        <v>34</v>
      </c>
      <c r="N8" s="42" t="s">
        <v>34</v>
      </c>
      <c r="O8" s="43" t="s">
        <v>34</v>
      </c>
      <c r="P8" s="106" t="s">
        <v>35</v>
      </c>
      <c r="Q8" s="107"/>
    </row>
    <row r="9" spans="1:17" s="44" customFormat="1" ht="13.9" customHeight="1" x14ac:dyDescent="0.25">
      <c r="A9" s="244"/>
      <c r="B9" s="261" t="s">
        <v>36</v>
      </c>
      <c r="C9" s="263" t="s">
        <v>37</v>
      </c>
      <c r="D9" s="247"/>
      <c r="E9" s="250"/>
      <c r="F9" s="252" t="s">
        <v>38</v>
      </c>
      <c r="G9" s="254" t="s">
        <v>39</v>
      </c>
      <c r="H9" s="254" t="s">
        <v>40</v>
      </c>
      <c r="I9" s="236" t="s">
        <v>41</v>
      </c>
      <c r="J9" s="237"/>
      <c r="K9" s="236" t="s">
        <v>42</v>
      </c>
      <c r="L9" s="237"/>
      <c r="M9" s="256" t="s">
        <v>43</v>
      </c>
      <c r="N9" s="256" t="s">
        <v>44</v>
      </c>
      <c r="O9" s="265" t="s">
        <v>45</v>
      </c>
      <c r="P9" s="267" t="s">
        <v>46</v>
      </c>
      <c r="Q9" s="108"/>
    </row>
    <row r="10" spans="1:17" s="44" customFormat="1" ht="32.25" customHeight="1" x14ac:dyDescent="0.25">
      <c r="A10" s="245"/>
      <c r="B10" s="262"/>
      <c r="C10" s="264"/>
      <c r="D10" s="248"/>
      <c r="E10" s="251"/>
      <c r="F10" s="253"/>
      <c r="G10" s="255"/>
      <c r="H10" s="255"/>
      <c r="I10" s="109" t="s">
        <v>47</v>
      </c>
      <c r="J10" s="109" t="s">
        <v>48</v>
      </c>
      <c r="K10" s="109" t="s">
        <v>49</v>
      </c>
      <c r="L10" s="109" t="s">
        <v>50</v>
      </c>
      <c r="M10" s="257"/>
      <c r="N10" s="257"/>
      <c r="O10" s="266"/>
      <c r="P10" s="268"/>
      <c r="Q10" s="110"/>
    </row>
    <row r="11" spans="1:17" x14ac:dyDescent="0.2">
      <c r="A11" s="111" t="s">
        <v>51</v>
      </c>
      <c r="B11" s="112">
        <v>14.79</v>
      </c>
      <c r="C11" s="113">
        <f>B11*2080</f>
        <v>30763.199999999997</v>
      </c>
      <c r="D11" s="59">
        <f>D19*1.1</f>
        <v>26.851785714285715</v>
      </c>
      <c r="E11" s="114">
        <f>D11*40*52</f>
        <v>55851.71428571429</v>
      </c>
      <c r="F11" s="115">
        <f t="shared" ref="F11:H12" si="0">F12*1.25</f>
        <v>21.45473149815151</v>
      </c>
      <c r="G11" s="115">
        <f t="shared" si="0"/>
        <v>21.45473149815151</v>
      </c>
      <c r="H11" s="115">
        <f t="shared" si="0"/>
        <v>21.45473149815151</v>
      </c>
      <c r="I11" s="60">
        <f t="shared" ref="I11:I13" si="1">D11</f>
        <v>26.851785714285715</v>
      </c>
      <c r="J11" s="116">
        <f>I11*1.05</f>
        <v>28.194375000000001</v>
      </c>
      <c r="K11" s="60">
        <f>I11*1.1</f>
        <v>29.536964285714287</v>
      </c>
      <c r="L11" s="60">
        <f>K11*1.05</f>
        <v>31.013812500000004</v>
      </c>
      <c r="M11" s="60">
        <f>K11*1.1</f>
        <v>32.490660714285717</v>
      </c>
      <c r="N11" s="60">
        <f t="shared" ref="N11:O13" si="2">M11*1.1</f>
        <v>35.739726785714289</v>
      </c>
      <c r="O11" s="117">
        <f t="shared" si="2"/>
        <v>39.313699464285719</v>
      </c>
      <c r="P11" s="118" t="s">
        <v>379</v>
      </c>
    </row>
    <row r="12" spans="1:17" x14ac:dyDescent="0.2">
      <c r="A12" s="111" t="s">
        <v>52</v>
      </c>
      <c r="B12" s="112">
        <v>13.78</v>
      </c>
      <c r="C12" s="113">
        <f t="shared" ref="C12:C14" si="3">B12*2080</f>
        <v>28662.399999999998</v>
      </c>
      <c r="D12" s="59">
        <f>D11-(D11*0.25)</f>
        <v>20.138839285714287</v>
      </c>
      <c r="E12" s="114">
        <f t="shared" ref="E12:E13" si="4">D12*40*52</f>
        <v>41888.785714285717</v>
      </c>
      <c r="F12" s="59">
        <f t="shared" si="0"/>
        <v>17.163785198521207</v>
      </c>
      <c r="G12" s="59">
        <f t="shared" si="0"/>
        <v>17.163785198521207</v>
      </c>
      <c r="H12" s="59">
        <f t="shared" si="0"/>
        <v>17.163785198521207</v>
      </c>
      <c r="I12" s="60">
        <f t="shared" si="1"/>
        <v>20.138839285714287</v>
      </c>
      <c r="J12" s="116">
        <f t="shared" ref="J12:L13" si="5">I12*1.05</f>
        <v>21.145781250000002</v>
      </c>
      <c r="K12" s="60">
        <f>I12*1.1</f>
        <v>22.152723214285718</v>
      </c>
      <c r="L12" s="60">
        <f t="shared" si="5"/>
        <v>23.260359375000004</v>
      </c>
      <c r="M12" s="60">
        <f>K12*1.1</f>
        <v>24.367995535714293</v>
      </c>
      <c r="N12" s="60">
        <f t="shared" si="2"/>
        <v>26.804795089285726</v>
      </c>
      <c r="O12" s="117">
        <f t="shared" si="2"/>
        <v>29.4852745982143</v>
      </c>
      <c r="P12" s="119" t="s">
        <v>53</v>
      </c>
      <c r="Q12" s="120"/>
    </row>
    <row r="13" spans="1:17" x14ac:dyDescent="0.2">
      <c r="A13" s="111" t="s">
        <v>54</v>
      </c>
      <c r="B13" s="112">
        <v>11.61</v>
      </c>
      <c r="C13" s="113">
        <f t="shared" si="3"/>
        <v>24148.799999999999</v>
      </c>
      <c r="D13" s="59">
        <f>D12-(D12*0.25)</f>
        <v>15.104129464285716</v>
      </c>
      <c r="E13" s="114">
        <f t="shared" si="4"/>
        <v>31416.58928571429</v>
      </c>
      <c r="F13" s="59">
        <f>F21*1.1</f>
        <v>13.731028158816967</v>
      </c>
      <c r="G13" s="59">
        <f>G21*1.1</f>
        <v>13.731028158816967</v>
      </c>
      <c r="H13" s="59">
        <f>H21*1.1</f>
        <v>13.731028158816967</v>
      </c>
      <c r="I13" s="60">
        <f t="shared" si="1"/>
        <v>15.104129464285716</v>
      </c>
      <c r="J13" s="116">
        <f t="shared" si="5"/>
        <v>15.859335937500003</v>
      </c>
      <c r="K13" s="60">
        <f>I13*1.1</f>
        <v>16.614542410714289</v>
      </c>
      <c r="L13" s="60">
        <f t="shared" si="5"/>
        <v>17.445269531250005</v>
      </c>
      <c r="M13" s="60">
        <f>K13*1.1</f>
        <v>18.275996651785722</v>
      </c>
      <c r="N13" s="60">
        <f t="shared" si="2"/>
        <v>20.103596316964296</v>
      </c>
      <c r="O13" s="117">
        <f>N13*1.1</f>
        <v>22.113955948660728</v>
      </c>
      <c r="P13" s="119" t="s">
        <v>55</v>
      </c>
      <c r="Q13" s="121"/>
    </row>
    <row r="14" spans="1:17" ht="28.5" x14ac:dyDescent="0.2">
      <c r="A14" s="111" t="s">
        <v>56</v>
      </c>
      <c r="B14" s="112">
        <v>15.79</v>
      </c>
      <c r="C14" s="113">
        <f t="shared" si="3"/>
        <v>32843.199999999997</v>
      </c>
      <c r="D14" s="59">
        <f>D12</f>
        <v>20.138839285714287</v>
      </c>
      <c r="E14" s="114">
        <f>E12</f>
        <v>41888.785714285717</v>
      </c>
      <c r="F14" s="59">
        <f t="shared" ref="F14:M14" si="6">F12</f>
        <v>17.163785198521207</v>
      </c>
      <c r="G14" s="60">
        <f t="shared" si="6"/>
        <v>17.163785198521207</v>
      </c>
      <c r="H14" s="60">
        <f t="shared" si="6"/>
        <v>17.163785198521207</v>
      </c>
      <c r="I14" s="60">
        <f t="shared" si="6"/>
        <v>20.138839285714287</v>
      </c>
      <c r="J14" s="116">
        <f t="shared" si="6"/>
        <v>21.145781250000002</v>
      </c>
      <c r="K14" s="60">
        <f t="shared" si="6"/>
        <v>22.152723214285718</v>
      </c>
      <c r="L14" s="60">
        <f t="shared" ref="L14" si="7">L12</f>
        <v>23.260359375000004</v>
      </c>
      <c r="M14" s="60">
        <f t="shared" si="6"/>
        <v>24.367995535714293</v>
      </c>
      <c r="N14" s="122" t="s">
        <v>57</v>
      </c>
      <c r="O14" s="123" t="s">
        <v>57</v>
      </c>
      <c r="P14" s="119" t="s">
        <v>58</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43" t="s">
        <v>28</v>
      </c>
      <c r="B16" s="259" t="s">
        <v>29</v>
      </c>
      <c r="C16" s="260"/>
      <c r="D16" s="246" t="s">
        <v>30</v>
      </c>
      <c r="E16" s="249" t="s">
        <v>31</v>
      </c>
      <c r="F16" s="133" t="s">
        <v>32</v>
      </c>
      <c r="G16" s="134" t="s">
        <v>32</v>
      </c>
      <c r="H16" s="134" t="s">
        <v>32</v>
      </c>
      <c r="I16" s="238" t="s">
        <v>32</v>
      </c>
      <c r="J16" s="238"/>
      <c r="K16" s="238" t="s">
        <v>33</v>
      </c>
      <c r="L16" s="238"/>
      <c r="M16" s="134" t="s">
        <v>34</v>
      </c>
      <c r="N16" s="134" t="s">
        <v>34</v>
      </c>
      <c r="O16" s="206" t="s">
        <v>34</v>
      </c>
      <c r="P16" s="106" t="s">
        <v>35</v>
      </c>
      <c r="Q16" s="107"/>
    </row>
    <row r="17" spans="1:17" s="44" customFormat="1" ht="13.9" customHeight="1" x14ac:dyDescent="0.25">
      <c r="A17" s="244"/>
      <c r="B17" s="261" t="s">
        <v>36</v>
      </c>
      <c r="C17" s="263" t="s">
        <v>37</v>
      </c>
      <c r="D17" s="247"/>
      <c r="E17" s="250"/>
      <c r="F17" s="252" t="s">
        <v>38</v>
      </c>
      <c r="G17" s="254" t="s">
        <v>39</v>
      </c>
      <c r="H17" s="254" t="s">
        <v>40</v>
      </c>
      <c r="I17" s="236" t="s">
        <v>41</v>
      </c>
      <c r="J17" s="237"/>
      <c r="K17" s="236" t="s">
        <v>42</v>
      </c>
      <c r="L17" s="237"/>
      <c r="M17" s="256" t="s">
        <v>43</v>
      </c>
      <c r="N17" s="256" t="s">
        <v>44</v>
      </c>
      <c r="O17" s="265" t="s">
        <v>45</v>
      </c>
      <c r="P17" s="267" t="s">
        <v>59</v>
      </c>
      <c r="Q17" s="135"/>
    </row>
    <row r="18" spans="1:17" s="44" customFormat="1" ht="30" customHeight="1" x14ac:dyDescent="0.25">
      <c r="A18" s="245"/>
      <c r="B18" s="262"/>
      <c r="C18" s="264"/>
      <c r="D18" s="248"/>
      <c r="E18" s="251"/>
      <c r="F18" s="253"/>
      <c r="G18" s="255"/>
      <c r="H18" s="255"/>
      <c r="I18" s="109" t="s">
        <v>47</v>
      </c>
      <c r="J18" s="109" t="s">
        <v>48</v>
      </c>
      <c r="K18" s="109" t="s">
        <v>49</v>
      </c>
      <c r="L18" s="109" t="s">
        <v>50</v>
      </c>
      <c r="M18" s="257"/>
      <c r="N18" s="257"/>
      <c r="O18" s="266"/>
      <c r="P18" s="268"/>
      <c r="Q18" s="135"/>
    </row>
    <row r="19" spans="1:17" x14ac:dyDescent="0.2">
      <c r="A19" s="111" t="s">
        <v>60</v>
      </c>
      <c r="B19" s="112">
        <f>B11</f>
        <v>14.79</v>
      </c>
      <c r="C19" s="113">
        <f>B19*2080</f>
        <v>30763.199999999997</v>
      </c>
      <c r="D19" s="136">
        <f>41010/40/42</f>
        <v>24.410714285714285</v>
      </c>
      <c r="E19" s="114">
        <f>D19*40*52</f>
        <v>50774.28571428571</v>
      </c>
      <c r="F19" s="115">
        <f>F20*1.25</f>
        <v>19.504301361955918</v>
      </c>
      <c r="G19" s="115">
        <f t="shared" ref="G19:H20" si="8">G20*1.25</f>
        <v>19.504301361955918</v>
      </c>
      <c r="H19" s="115">
        <f t="shared" si="8"/>
        <v>19.504301361955918</v>
      </c>
      <c r="I19" s="60">
        <f>D19</f>
        <v>24.410714285714285</v>
      </c>
      <c r="J19" s="116">
        <f>I19*1.05</f>
        <v>25.631250000000001</v>
      </c>
      <c r="K19" s="60">
        <f>I19*1.1</f>
        <v>26.851785714285715</v>
      </c>
      <c r="L19" s="60">
        <f>K19*1.05</f>
        <v>28.194375000000001</v>
      </c>
      <c r="M19" s="60">
        <f>K19*1.1</f>
        <v>29.536964285714287</v>
      </c>
      <c r="N19" s="60">
        <f t="shared" ref="N19:O21" si="9">M19*1.1</f>
        <v>32.490660714285717</v>
      </c>
      <c r="O19" s="117">
        <f>N19*1.1</f>
        <v>35.739726785714289</v>
      </c>
      <c r="P19" s="137" t="s">
        <v>61</v>
      </c>
      <c r="Q19" s="120"/>
    </row>
    <row r="20" spans="1:17" x14ac:dyDescent="0.2">
      <c r="A20" s="111" t="s">
        <v>62</v>
      </c>
      <c r="B20" s="112">
        <f>B12</f>
        <v>13.78</v>
      </c>
      <c r="C20" s="113">
        <f t="shared" ref="C20:C22" si="10">B20*2080</f>
        <v>28662.399999999998</v>
      </c>
      <c r="D20" s="59">
        <f>D19-(D19*0.25)</f>
        <v>18.308035714285715</v>
      </c>
      <c r="E20" s="114">
        <f>D20*40*52</f>
        <v>38080.71428571429</v>
      </c>
      <c r="F20" s="59">
        <f>F21*1.25</f>
        <v>15.603441089564733</v>
      </c>
      <c r="G20" s="59">
        <f t="shared" si="8"/>
        <v>15.603441089564733</v>
      </c>
      <c r="H20" s="59">
        <f t="shared" si="8"/>
        <v>15.603441089564733</v>
      </c>
      <c r="I20" s="60">
        <f>D20</f>
        <v>18.308035714285715</v>
      </c>
      <c r="J20" s="116">
        <f t="shared" ref="J20:J21" si="11">I20*1.05</f>
        <v>19.223437500000003</v>
      </c>
      <c r="K20" s="60">
        <f>I20*1.1</f>
        <v>20.138839285714287</v>
      </c>
      <c r="L20" s="60">
        <f t="shared" ref="L20:L21" si="12">K20*1.05</f>
        <v>21.145781250000002</v>
      </c>
      <c r="M20" s="60">
        <f t="shared" ref="M20:M21" si="13">K20*1.1</f>
        <v>22.152723214285718</v>
      </c>
      <c r="N20" s="60">
        <f t="shared" si="9"/>
        <v>24.367995535714293</v>
      </c>
      <c r="O20" s="117">
        <f t="shared" si="9"/>
        <v>26.804795089285726</v>
      </c>
      <c r="P20" s="119" t="s">
        <v>53</v>
      </c>
      <c r="Q20" s="120"/>
    </row>
    <row r="21" spans="1:17" x14ac:dyDescent="0.2">
      <c r="A21" s="111" t="s">
        <v>63</v>
      </c>
      <c r="B21" s="112">
        <f>B13</f>
        <v>11.61</v>
      </c>
      <c r="C21" s="113">
        <f t="shared" si="10"/>
        <v>24148.799999999999</v>
      </c>
      <c r="D21" s="59">
        <f>D20-(D20*0.25)</f>
        <v>13.731026785714286</v>
      </c>
      <c r="E21" s="114">
        <f>D21*40*52</f>
        <v>28560.535714285714</v>
      </c>
      <c r="F21" s="59">
        <f>H21</f>
        <v>12.482752871651787</v>
      </c>
      <c r="G21" s="60">
        <f>H21</f>
        <v>12.482752871651787</v>
      </c>
      <c r="H21" s="60">
        <f>0.909091*I21</f>
        <v>12.482752871651787</v>
      </c>
      <c r="I21" s="60">
        <f>D21</f>
        <v>13.731026785714286</v>
      </c>
      <c r="J21" s="116">
        <f t="shared" si="11"/>
        <v>14.417578125000002</v>
      </c>
      <c r="K21" s="60">
        <f>I21*1.1</f>
        <v>15.104129464285716</v>
      </c>
      <c r="L21" s="60">
        <f t="shared" si="12"/>
        <v>15.859335937500003</v>
      </c>
      <c r="M21" s="60">
        <f t="shared" si="13"/>
        <v>16.614542410714289</v>
      </c>
      <c r="N21" s="60">
        <f t="shared" si="9"/>
        <v>18.275996651785722</v>
      </c>
      <c r="O21" s="117">
        <f t="shared" si="9"/>
        <v>20.103596316964296</v>
      </c>
      <c r="P21" s="119" t="s">
        <v>64</v>
      </c>
      <c r="Q21" s="121"/>
    </row>
    <row r="22" spans="1:17" ht="28.5" x14ac:dyDescent="0.2">
      <c r="A22" s="111" t="s">
        <v>65</v>
      </c>
      <c r="B22" s="112">
        <f>B14</f>
        <v>15.79</v>
      </c>
      <c r="C22" s="113">
        <f t="shared" si="10"/>
        <v>32843.199999999997</v>
      </c>
      <c r="D22" s="59">
        <f>D20</f>
        <v>18.308035714285715</v>
      </c>
      <c r="E22" s="114">
        <f t="shared" ref="E22:M22" si="14">E20</f>
        <v>38080.71428571429</v>
      </c>
      <c r="F22" s="138">
        <f t="shared" si="14"/>
        <v>15.603441089564733</v>
      </c>
      <c r="G22" s="60">
        <f t="shared" si="14"/>
        <v>15.603441089564733</v>
      </c>
      <c r="H22" s="60">
        <f t="shared" si="14"/>
        <v>15.603441089564733</v>
      </c>
      <c r="I22" s="60">
        <f t="shared" si="14"/>
        <v>18.308035714285715</v>
      </c>
      <c r="J22" s="116">
        <f t="shared" si="14"/>
        <v>19.223437500000003</v>
      </c>
      <c r="K22" s="60">
        <f t="shared" si="14"/>
        <v>20.138839285714287</v>
      </c>
      <c r="L22" s="60">
        <f t="shared" si="14"/>
        <v>21.145781250000002</v>
      </c>
      <c r="M22" s="60">
        <f t="shared" si="14"/>
        <v>22.152723214285718</v>
      </c>
      <c r="N22" s="122" t="s">
        <v>57</v>
      </c>
      <c r="O22" s="123" t="s">
        <v>57</v>
      </c>
      <c r="P22" s="119" t="s">
        <v>58</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A3" zoomScaleNormal="100" workbookViewId="0">
      <selection activeCell="C14" sqref="C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7" width="7.5703125" bestFit="1" customWidth="1"/>
    <col min="18"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9" t="s">
        <v>305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4" spans="1:26" ht="18.75" x14ac:dyDescent="0.3">
      <c r="A4" s="318" t="s">
        <v>306</v>
      </c>
      <c r="B4" s="318"/>
      <c r="C4" s="318"/>
      <c r="D4" s="318"/>
      <c r="E4" s="318"/>
      <c r="F4" s="318"/>
      <c r="G4" s="318"/>
      <c r="H4" s="318"/>
    </row>
    <row r="5" spans="1:26" ht="36" customHeight="1" x14ac:dyDescent="0.25">
      <c r="A5" s="316" t="s">
        <v>186</v>
      </c>
      <c r="B5" s="317" t="s">
        <v>187</v>
      </c>
      <c r="C5" s="317" t="s">
        <v>188</v>
      </c>
      <c r="D5" s="317" t="s">
        <v>307</v>
      </c>
      <c r="E5" s="317" t="s">
        <v>190</v>
      </c>
      <c r="F5" s="317"/>
      <c r="G5" s="317" t="s">
        <v>191</v>
      </c>
      <c r="H5" s="317"/>
      <c r="P5"/>
      <c r="R5" s="10"/>
    </row>
    <row r="6" spans="1:26" ht="15.75" thickBot="1" x14ac:dyDescent="0.3">
      <c r="A6" s="316"/>
      <c r="B6" s="317"/>
      <c r="C6" s="317"/>
      <c r="D6" s="319"/>
      <c r="E6" s="163" t="s">
        <v>192</v>
      </c>
      <c r="F6" s="163" t="s">
        <v>193</v>
      </c>
      <c r="G6" s="163" t="s">
        <v>192</v>
      </c>
      <c r="H6" s="163" t="s">
        <v>193</v>
      </c>
      <c r="P6"/>
      <c r="R6" s="10"/>
    </row>
    <row r="7" spans="1:26" ht="15.75" thickBot="1" x14ac:dyDescent="0.3">
      <c r="A7" s="195" t="s">
        <v>308</v>
      </c>
      <c r="B7" s="196">
        <v>1</v>
      </c>
      <c r="C7" s="197">
        <f>'1A'!B13</f>
        <v>11.61</v>
      </c>
      <c r="D7" s="198" t="s">
        <v>57</v>
      </c>
      <c r="E7" s="199">
        <f t="shared" ref="E7:E12" si="0">W19-B19</f>
        <v>-641</v>
      </c>
      <c r="F7" s="200">
        <f t="shared" ref="F7:F12" si="1">W29</f>
        <v>-0.44950911640953717</v>
      </c>
      <c r="G7" s="201">
        <f t="shared" ref="G7:G12" si="2">S38-B38</f>
        <v>3.9499999999999993</v>
      </c>
      <c r="H7" s="202">
        <f t="shared" ref="H7:H12" si="3">S48</f>
        <v>0.51566579634464738</v>
      </c>
      <c r="P7"/>
      <c r="R7" s="10"/>
    </row>
    <row r="8" spans="1:26" ht="15.75" thickTop="1" x14ac:dyDescent="0.25">
      <c r="A8" s="178" t="s">
        <v>309</v>
      </c>
      <c r="B8" s="172">
        <v>0.97</v>
      </c>
      <c r="C8" s="185">
        <f>S39</f>
        <v>12.92</v>
      </c>
      <c r="D8" s="187">
        <f>C8-C7</f>
        <v>1.3100000000000005</v>
      </c>
      <c r="E8" s="174">
        <f t="shared" si="0"/>
        <v>1080</v>
      </c>
      <c r="F8" s="173">
        <f t="shared" si="1"/>
        <v>0.90756302521008403</v>
      </c>
      <c r="G8" s="176">
        <f t="shared" si="2"/>
        <v>4.5500000000000007</v>
      </c>
      <c r="H8" s="177">
        <f t="shared" si="3"/>
        <v>0.54360812425328564</v>
      </c>
      <c r="P8"/>
      <c r="R8" s="10"/>
    </row>
    <row r="9" spans="1:26" x14ac:dyDescent="0.25">
      <c r="A9" s="178" t="s">
        <v>310</v>
      </c>
      <c r="B9" s="164">
        <v>0.95</v>
      </c>
      <c r="C9" s="185">
        <f t="shared" ref="C9:C12" si="4">S40</f>
        <v>13.09</v>
      </c>
      <c r="D9" s="187">
        <f>C9-C7</f>
        <v>1.4800000000000004</v>
      </c>
      <c r="E9" s="174">
        <f t="shared" si="0"/>
        <v>18</v>
      </c>
      <c r="F9" s="173">
        <f t="shared" si="1"/>
        <v>0.16216216216216217</v>
      </c>
      <c r="G9" s="175">
        <f t="shared" si="2"/>
        <v>2.5099999999999998</v>
      </c>
      <c r="H9" s="177">
        <f t="shared" si="3"/>
        <v>0.23724007561436672</v>
      </c>
      <c r="P9"/>
      <c r="R9" s="10"/>
    </row>
    <row r="10" spans="1:26" x14ac:dyDescent="0.25">
      <c r="A10" s="178" t="s">
        <v>311</v>
      </c>
      <c r="B10" s="164">
        <v>0.95</v>
      </c>
      <c r="C10" s="185">
        <f t="shared" si="4"/>
        <v>14.13</v>
      </c>
      <c r="D10" s="187">
        <f>C10-C7</f>
        <v>2.5200000000000014</v>
      </c>
      <c r="E10" s="174">
        <f t="shared" si="0"/>
        <v>-268</v>
      </c>
      <c r="F10" s="173">
        <f t="shared" si="1"/>
        <v>-0.11232187761944677</v>
      </c>
      <c r="G10" s="175">
        <f t="shared" si="2"/>
        <v>7.9200000000000008</v>
      </c>
      <c r="H10" s="177">
        <f t="shared" si="3"/>
        <v>1.2753623188405798</v>
      </c>
      <c r="P10"/>
      <c r="R10" s="10"/>
    </row>
    <row r="11" spans="1:26" x14ac:dyDescent="0.25">
      <c r="A11" s="178" t="s">
        <v>312</v>
      </c>
      <c r="B11" s="164">
        <v>0.95</v>
      </c>
      <c r="C11" s="185">
        <f t="shared" si="4"/>
        <v>17.52</v>
      </c>
      <c r="D11" s="187">
        <f>C11-C7</f>
        <v>5.91</v>
      </c>
      <c r="E11" s="174">
        <f t="shared" si="0"/>
        <v>-116</v>
      </c>
      <c r="F11" s="173">
        <f t="shared" si="1"/>
        <v>-0.74358974358974361</v>
      </c>
      <c r="G11" s="175">
        <f t="shared" si="2"/>
        <v>7.1</v>
      </c>
      <c r="H11" s="177">
        <f t="shared" si="3"/>
        <v>0.6813819577735124</v>
      </c>
      <c r="P11"/>
      <c r="R11" s="10"/>
    </row>
    <row r="12" spans="1:26" ht="15.75" thickBot="1" x14ac:dyDescent="0.3">
      <c r="A12" s="179" t="s">
        <v>197</v>
      </c>
      <c r="B12" s="180">
        <v>0.94</v>
      </c>
      <c r="C12" s="186">
        <f t="shared" si="4"/>
        <v>15.74</v>
      </c>
      <c r="D12" s="188">
        <f>C12-C7</f>
        <v>4.1300000000000008</v>
      </c>
      <c r="E12" s="181">
        <f t="shared" si="0"/>
        <v>-420</v>
      </c>
      <c r="F12" s="182">
        <f t="shared" si="1"/>
        <v>-0.43254376930998972</v>
      </c>
      <c r="G12" s="183">
        <f t="shared" si="2"/>
        <v>5.73</v>
      </c>
      <c r="H12" s="184">
        <f t="shared" si="3"/>
        <v>0.57242757242757247</v>
      </c>
      <c r="P12"/>
      <c r="R12" s="10"/>
    </row>
    <row r="13" spans="1:26" x14ac:dyDescent="0.25">
      <c r="A13" s="1"/>
      <c r="B13" s="35"/>
      <c r="C13" s="36"/>
      <c r="D13" s="36"/>
    </row>
    <row r="14" spans="1:26" x14ac:dyDescent="0.25">
      <c r="C14" s="221">
        <f>4.13*2080</f>
        <v>8590.4</v>
      </c>
    </row>
    <row r="17" spans="1:26" ht="15.75" x14ac:dyDescent="0.25">
      <c r="A17" s="315" t="s">
        <v>313</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308</v>
      </c>
      <c r="B19" s="166">
        <v>1426</v>
      </c>
      <c r="C19" s="166">
        <v>1529</v>
      </c>
      <c r="D19" s="166">
        <v>1504</v>
      </c>
      <c r="E19" s="166">
        <v>1430</v>
      </c>
      <c r="F19" s="166">
        <v>1370</v>
      </c>
      <c r="G19" s="166">
        <v>1332</v>
      </c>
      <c r="H19" s="166">
        <v>1225</v>
      </c>
      <c r="I19" s="166">
        <v>1143</v>
      </c>
      <c r="J19" s="166">
        <v>1124</v>
      </c>
      <c r="K19" s="166">
        <v>1048</v>
      </c>
      <c r="L19" s="166">
        <v>1058</v>
      </c>
      <c r="M19" s="166">
        <v>1112</v>
      </c>
      <c r="N19" s="166">
        <v>998</v>
      </c>
      <c r="O19" s="166">
        <v>899</v>
      </c>
      <c r="P19" s="166">
        <v>751</v>
      </c>
      <c r="Q19" s="166">
        <v>730</v>
      </c>
      <c r="R19" s="166">
        <v>690</v>
      </c>
      <c r="S19" s="166">
        <v>725</v>
      </c>
      <c r="T19" s="166">
        <v>741</v>
      </c>
      <c r="U19" s="166">
        <v>748</v>
      </c>
      <c r="V19" s="166">
        <v>758</v>
      </c>
      <c r="W19" s="166">
        <v>785</v>
      </c>
    </row>
    <row r="20" spans="1:26" ht="15.75" thickTop="1" x14ac:dyDescent="0.25">
      <c r="A20" s="143" t="s">
        <v>309</v>
      </c>
      <c r="B20" s="144">
        <v>1190</v>
      </c>
      <c r="C20" s="144">
        <v>1353</v>
      </c>
      <c r="D20" s="144">
        <v>1471</v>
      </c>
      <c r="E20" s="144">
        <v>1501</v>
      </c>
      <c r="F20" s="144">
        <v>1525</v>
      </c>
      <c r="G20" s="144">
        <v>1522</v>
      </c>
      <c r="H20" s="144">
        <v>1474</v>
      </c>
      <c r="I20" s="144">
        <v>1451</v>
      </c>
      <c r="J20" s="144">
        <v>1484</v>
      </c>
      <c r="K20" s="144">
        <v>1465</v>
      </c>
      <c r="L20" s="144">
        <v>1436</v>
      </c>
      <c r="M20" s="144">
        <v>1490</v>
      </c>
      <c r="N20" s="144">
        <v>1666</v>
      </c>
      <c r="O20" s="144">
        <v>1663</v>
      </c>
      <c r="P20" s="144">
        <v>1579</v>
      </c>
      <c r="Q20" s="144">
        <v>1506</v>
      </c>
      <c r="R20" s="144">
        <v>1441</v>
      </c>
      <c r="S20" s="144">
        <v>1471</v>
      </c>
      <c r="T20" s="144">
        <v>1533</v>
      </c>
      <c r="U20" s="144">
        <v>1740</v>
      </c>
      <c r="V20" s="144">
        <v>2135</v>
      </c>
      <c r="W20" s="144">
        <v>2270</v>
      </c>
    </row>
    <row r="21" spans="1:26" x14ac:dyDescent="0.25">
      <c r="A21" s="143" t="s">
        <v>310</v>
      </c>
      <c r="B21" s="144">
        <v>111</v>
      </c>
      <c r="C21" s="144">
        <v>114</v>
      </c>
      <c r="D21" s="144">
        <v>113</v>
      </c>
      <c r="E21" s="144">
        <v>112</v>
      </c>
      <c r="F21" s="144">
        <v>111</v>
      </c>
      <c r="G21" s="144">
        <v>110</v>
      </c>
      <c r="H21" s="144">
        <v>111</v>
      </c>
      <c r="I21" s="144">
        <v>117</v>
      </c>
      <c r="J21" s="144">
        <v>117</v>
      </c>
      <c r="K21" s="144">
        <v>118</v>
      </c>
      <c r="L21" s="144">
        <v>127</v>
      </c>
      <c r="M21" s="144">
        <v>124</v>
      </c>
      <c r="N21" s="144">
        <v>122</v>
      </c>
      <c r="O21" s="144">
        <v>117</v>
      </c>
      <c r="P21" s="144">
        <v>114</v>
      </c>
      <c r="Q21" s="144">
        <v>109</v>
      </c>
      <c r="R21" s="144">
        <v>112</v>
      </c>
      <c r="S21" s="144">
        <v>115</v>
      </c>
      <c r="T21" s="144">
        <v>123</v>
      </c>
      <c r="U21" s="144">
        <v>144</v>
      </c>
      <c r="V21" s="144">
        <v>151</v>
      </c>
      <c r="W21" s="144">
        <v>129</v>
      </c>
    </row>
    <row r="22" spans="1:26" x14ac:dyDescent="0.25">
      <c r="A22" s="143" t="s">
        <v>311</v>
      </c>
      <c r="B22" s="144">
        <v>2386</v>
      </c>
      <c r="C22" s="144">
        <v>2429</v>
      </c>
      <c r="D22" s="144">
        <v>2426</v>
      </c>
      <c r="E22" s="144">
        <v>2431</v>
      </c>
      <c r="F22" s="144">
        <v>2431</v>
      </c>
      <c r="G22" s="144">
        <v>2424</v>
      </c>
      <c r="H22" s="144">
        <v>2423</v>
      </c>
      <c r="I22" s="144">
        <v>2406</v>
      </c>
      <c r="J22" s="144">
        <v>2254</v>
      </c>
      <c r="K22" s="144">
        <v>2189</v>
      </c>
      <c r="L22" s="144">
        <v>2171</v>
      </c>
      <c r="M22" s="144">
        <v>2152</v>
      </c>
      <c r="N22" s="144">
        <v>2185</v>
      </c>
      <c r="O22" s="144">
        <v>2226</v>
      </c>
      <c r="P22" s="144">
        <v>2277</v>
      </c>
      <c r="Q22" s="144">
        <v>2378</v>
      </c>
      <c r="R22" s="144">
        <v>2444</v>
      </c>
      <c r="S22" s="144">
        <v>2437</v>
      </c>
      <c r="T22" s="144">
        <v>2482</v>
      </c>
      <c r="U22" s="144">
        <v>1839</v>
      </c>
      <c r="V22" s="144">
        <v>1800</v>
      </c>
      <c r="W22" s="144">
        <v>2118</v>
      </c>
    </row>
    <row r="23" spans="1:26" x14ac:dyDescent="0.25">
      <c r="A23" s="143" t="s">
        <v>312</v>
      </c>
      <c r="B23" s="146">
        <v>156</v>
      </c>
      <c r="C23" s="146">
        <v>154</v>
      </c>
      <c r="D23" s="146">
        <v>151</v>
      </c>
      <c r="E23" s="146">
        <v>147</v>
      </c>
      <c r="F23" s="146">
        <v>146</v>
      </c>
      <c r="G23" s="146">
        <v>96</v>
      </c>
      <c r="H23" s="146">
        <v>77</v>
      </c>
      <c r="I23" s="146">
        <v>76</v>
      </c>
      <c r="J23" s="146">
        <v>76</v>
      </c>
      <c r="K23" s="146">
        <v>84</v>
      </c>
      <c r="L23" s="146">
        <v>85</v>
      </c>
      <c r="M23" s="146">
        <v>78</v>
      </c>
      <c r="N23" s="146">
        <v>75</v>
      </c>
      <c r="O23" s="146">
        <v>75</v>
      </c>
      <c r="P23" s="146">
        <v>72</v>
      </c>
      <c r="Q23" s="146">
        <v>69</v>
      </c>
      <c r="R23" s="146">
        <v>66</v>
      </c>
      <c r="S23" s="146">
        <v>54</v>
      </c>
      <c r="T23" s="146">
        <v>50</v>
      </c>
      <c r="U23" s="146">
        <v>55</v>
      </c>
      <c r="V23" s="146">
        <v>47</v>
      </c>
      <c r="W23" s="146">
        <v>40</v>
      </c>
    </row>
    <row r="24" spans="1:26" x14ac:dyDescent="0.25">
      <c r="A24" s="143" t="s">
        <v>197</v>
      </c>
      <c r="B24" s="146">
        <v>971</v>
      </c>
      <c r="C24" s="146">
        <v>988</v>
      </c>
      <c r="D24" s="146">
        <v>999</v>
      </c>
      <c r="E24" s="146">
        <v>985</v>
      </c>
      <c r="F24" s="146">
        <v>976</v>
      </c>
      <c r="G24" s="146">
        <v>977</v>
      </c>
      <c r="H24" s="146">
        <v>986</v>
      </c>
      <c r="I24" s="146">
        <v>983</v>
      </c>
      <c r="J24" s="146">
        <v>989</v>
      </c>
      <c r="K24" s="146">
        <v>1006</v>
      </c>
      <c r="L24" s="146">
        <v>1047</v>
      </c>
      <c r="M24" s="146">
        <v>1018</v>
      </c>
      <c r="N24" s="146">
        <v>998</v>
      </c>
      <c r="O24" s="146">
        <v>998</v>
      </c>
      <c r="P24" s="146">
        <v>990</v>
      </c>
      <c r="Q24" s="146">
        <v>944</v>
      </c>
      <c r="R24" s="146">
        <v>910</v>
      </c>
      <c r="S24" s="146">
        <v>850</v>
      </c>
      <c r="T24" s="146">
        <v>788</v>
      </c>
      <c r="U24" s="146">
        <v>695</v>
      </c>
      <c r="V24" s="146">
        <v>587</v>
      </c>
      <c r="W24" s="146">
        <v>551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314</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308</v>
      </c>
      <c r="B29" s="167">
        <f t="shared" ref="B29:B34" si="5">(B19-B19)/B19</f>
        <v>0</v>
      </c>
      <c r="C29" s="167">
        <f t="shared" ref="C29:C34" si="6">(C19-B19)/B19</f>
        <v>7.223001402524544E-2</v>
      </c>
      <c r="D29" s="167">
        <f t="shared" ref="D29:D34" si="7">(D19-B19)/B19</f>
        <v>5.4698457223001401E-2</v>
      </c>
      <c r="E29" s="167">
        <f t="shared" ref="E29:E34" si="8">(E19-B19)/B19</f>
        <v>2.8050490883590462E-3</v>
      </c>
      <c r="F29" s="167">
        <f t="shared" ref="F29:F34" si="9">(F19-B19)/B19</f>
        <v>-3.9270687237026647E-2</v>
      </c>
      <c r="G29" s="167">
        <f t="shared" ref="G29:G34" si="10">(G19-B19)/B19</f>
        <v>-6.5918653576437586E-2</v>
      </c>
      <c r="H29" s="167">
        <f t="shared" ref="H29:H34" si="11">(H19-B19)/B19</f>
        <v>-0.14095371669004209</v>
      </c>
      <c r="I29" s="167">
        <f t="shared" ref="I29:I34" si="12">(I19-B19)/B19</f>
        <v>-0.19845722300140253</v>
      </c>
      <c r="J29" s="167">
        <f t="shared" ref="J29:J34" si="13">(J19-B19)/B19</f>
        <v>-0.21178120617110799</v>
      </c>
      <c r="K29" s="167">
        <f t="shared" ref="K29:K34" si="14">(K19-B19)/B19</f>
        <v>-0.26507713884992989</v>
      </c>
      <c r="L29" s="167">
        <f t="shared" ref="L29:L34" si="15">(L19-B19)/B19</f>
        <v>-0.25806451612903225</v>
      </c>
      <c r="M29" s="167">
        <f t="shared" ref="M29:M34" si="16">(M19-B19)/B19</f>
        <v>-0.22019635343618513</v>
      </c>
      <c r="N29" s="167">
        <f t="shared" ref="N29:N34" si="17">(N19-B19)/B19</f>
        <v>-0.30014025245441794</v>
      </c>
      <c r="O29" s="167">
        <f t="shared" ref="O29:O34" si="18">(O19-B19)/B19</f>
        <v>-0.36956521739130432</v>
      </c>
      <c r="P29" s="167">
        <f t="shared" ref="P29:P34" si="19">(P19-B19)/B19</f>
        <v>-0.47335203366058903</v>
      </c>
      <c r="Q29" s="167">
        <f t="shared" ref="Q29:Q34" si="20">(Q19-B19)/B19</f>
        <v>-0.48807854137447404</v>
      </c>
      <c r="R29" s="167">
        <f t="shared" ref="R29:R34" si="21">(R19-B19)/B19</f>
        <v>-0.5161290322580645</v>
      </c>
      <c r="S29" s="167">
        <f t="shared" ref="S29:S34" si="22">(S19-B19)/B19</f>
        <v>-0.49158485273492286</v>
      </c>
      <c r="T29" s="167">
        <f t="shared" ref="T29:T34" si="23">(T19-B19)/B19</f>
        <v>-0.48036465638148668</v>
      </c>
      <c r="U29" s="167">
        <f t="shared" ref="U29:U34" si="24">(U19-B19)/B19</f>
        <v>-0.47545582047685836</v>
      </c>
      <c r="V29" s="167">
        <f t="shared" ref="V29:V34" si="25">(V19-B19)/B19</f>
        <v>-0.46844319775596072</v>
      </c>
      <c r="W29" s="167">
        <f t="shared" ref="W29:W34" si="26">(W19-B19)/B19</f>
        <v>-0.44950911640953717</v>
      </c>
      <c r="Y29" t="s">
        <v>310</v>
      </c>
      <c r="Z29" s="214">
        <v>2.5099999999999998</v>
      </c>
    </row>
    <row r="30" spans="1:26" ht="15.75" thickTop="1" x14ac:dyDescent="0.25">
      <c r="A30" s="143" t="s">
        <v>309</v>
      </c>
      <c r="B30" s="147">
        <f t="shared" si="5"/>
        <v>0</v>
      </c>
      <c r="C30" s="147">
        <f t="shared" si="6"/>
        <v>0.1369747899159664</v>
      </c>
      <c r="D30" s="147">
        <f t="shared" si="7"/>
        <v>0.2361344537815126</v>
      </c>
      <c r="E30" s="147">
        <f t="shared" si="8"/>
        <v>0.26134453781512607</v>
      </c>
      <c r="F30" s="147">
        <f t="shared" si="9"/>
        <v>0.28151260504201681</v>
      </c>
      <c r="G30" s="147">
        <f t="shared" si="10"/>
        <v>0.27899159663865547</v>
      </c>
      <c r="H30" s="147">
        <f t="shared" si="11"/>
        <v>0.23865546218487396</v>
      </c>
      <c r="I30" s="147">
        <f t="shared" si="12"/>
        <v>0.21932773109243697</v>
      </c>
      <c r="J30" s="147">
        <f t="shared" si="13"/>
        <v>0.24705882352941178</v>
      </c>
      <c r="K30" s="147">
        <f t="shared" si="14"/>
        <v>0.23109243697478993</v>
      </c>
      <c r="L30" s="147">
        <f t="shared" si="15"/>
        <v>0.20672268907563024</v>
      </c>
      <c r="M30" s="147">
        <f t="shared" si="16"/>
        <v>0.25210084033613445</v>
      </c>
      <c r="N30" s="147">
        <f t="shared" si="17"/>
        <v>0.4</v>
      </c>
      <c r="O30" s="147">
        <f t="shared" si="18"/>
        <v>0.39747899159663863</v>
      </c>
      <c r="P30" s="147">
        <f t="shared" si="19"/>
        <v>0.32689075630252101</v>
      </c>
      <c r="Q30" s="147">
        <f t="shared" si="20"/>
        <v>0.26554621848739496</v>
      </c>
      <c r="R30" s="147">
        <f t="shared" si="21"/>
        <v>0.21092436974789916</v>
      </c>
      <c r="S30" s="147">
        <f t="shared" si="22"/>
        <v>0.2361344537815126</v>
      </c>
      <c r="T30" s="147">
        <f t="shared" si="23"/>
        <v>0.28823529411764703</v>
      </c>
      <c r="U30" s="147">
        <f t="shared" si="24"/>
        <v>0.46218487394957986</v>
      </c>
      <c r="V30" s="147">
        <f t="shared" si="25"/>
        <v>0.79411764705882348</v>
      </c>
      <c r="W30" s="147">
        <f t="shared" si="26"/>
        <v>0.90756302521008403</v>
      </c>
      <c r="Y30" t="s">
        <v>308</v>
      </c>
      <c r="Z30" s="214">
        <v>3.9499999999999993</v>
      </c>
    </row>
    <row r="31" spans="1:26" x14ac:dyDescent="0.25">
      <c r="A31" s="143" t="s">
        <v>310</v>
      </c>
      <c r="B31" s="147">
        <f t="shared" si="5"/>
        <v>0</v>
      </c>
      <c r="C31" s="147">
        <f t="shared" si="6"/>
        <v>2.7027027027027029E-2</v>
      </c>
      <c r="D31" s="147">
        <f t="shared" si="7"/>
        <v>1.8018018018018018E-2</v>
      </c>
      <c r="E31" s="147">
        <f t="shared" si="8"/>
        <v>9.0090090090090089E-3</v>
      </c>
      <c r="F31" s="147">
        <f t="shared" si="9"/>
        <v>0</v>
      </c>
      <c r="G31" s="147">
        <f t="shared" si="10"/>
        <v>-9.0090090090090089E-3</v>
      </c>
      <c r="H31" s="147">
        <f t="shared" si="11"/>
        <v>0</v>
      </c>
      <c r="I31" s="147">
        <f t="shared" si="12"/>
        <v>5.4054054054054057E-2</v>
      </c>
      <c r="J31" s="147">
        <f t="shared" si="13"/>
        <v>5.4054054054054057E-2</v>
      </c>
      <c r="K31" s="147">
        <f t="shared" si="14"/>
        <v>6.3063063063063057E-2</v>
      </c>
      <c r="L31" s="147">
        <f t="shared" si="15"/>
        <v>0.14414414414414414</v>
      </c>
      <c r="M31" s="147">
        <f t="shared" si="16"/>
        <v>0.11711711711711711</v>
      </c>
      <c r="N31" s="147">
        <f t="shared" si="17"/>
        <v>9.90990990990991E-2</v>
      </c>
      <c r="O31" s="147">
        <f t="shared" si="18"/>
        <v>5.4054054054054057E-2</v>
      </c>
      <c r="P31" s="147">
        <f t="shared" si="19"/>
        <v>2.7027027027027029E-2</v>
      </c>
      <c r="Q31" s="147">
        <f t="shared" si="20"/>
        <v>-1.8018018018018018E-2</v>
      </c>
      <c r="R31" s="147">
        <f t="shared" si="21"/>
        <v>9.0090090090090089E-3</v>
      </c>
      <c r="S31" s="147">
        <f t="shared" si="22"/>
        <v>3.6036036036036036E-2</v>
      </c>
      <c r="T31" s="147">
        <f t="shared" si="23"/>
        <v>0.10810810810810811</v>
      </c>
      <c r="U31" s="147">
        <f t="shared" si="24"/>
        <v>0.29729729729729731</v>
      </c>
      <c r="V31" s="147">
        <f t="shared" si="25"/>
        <v>0.36036036036036034</v>
      </c>
      <c r="W31" s="147">
        <f t="shared" si="26"/>
        <v>0.16216216216216217</v>
      </c>
      <c r="Y31" t="s">
        <v>309</v>
      </c>
      <c r="Z31" s="214">
        <v>4.5500000000000007</v>
      </c>
    </row>
    <row r="32" spans="1:26" x14ac:dyDescent="0.25">
      <c r="A32" s="143" t="s">
        <v>311</v>
      </c>
      <c r="B32" s="147">
        <f t="shared" si="5"/>
        <v>0</v>
      </c>
      <c r="C32" s="147">
        <f t="shared" si="6"/>
        <v>1.8021793797150042E-2</v>
      </c>
      <c r="D32" s="147">
        <f t="shared" si="7"/>
        <v>1.6764459346186086E-2</v>
      </c>
      <c r="E32" s="147">
        <f t="shared" si="8"/>
        <v>1.8860016764459347E-2</v>
      </c>
      <c r="F32" s="147">
        <f t="shared" si="9"/>
        <v>1.8860016764459347E-2</v>
      </c>
      <c r="G32" s="147">
        <f t="shared" si="10"/>
        <v>1.5926236378876781E-2</v>
      </c>
      <c r="H32" s="147">
        <f t="shared" si="11"/>
        <v>1.550712489522213E-2</v>
      </c>
      <c r="I32" s="147">
        <f t="shared" si="12"/>
        <v>8.3822296730930428E-3</v>
      </c>
      <c r="J32" s="147">
        <f t="shared" si="13"/>
        <v>-5.5322715842414084E-2</v>
      </c>
      <c r="K32" s="147">
        <f t="shared" si="14"/>
        <v>-8.2564962279966472E-2</v>
      </c>
      <c r="L32" s="147">
        <f t="shared" si="15"/>
        <v>-9.0108968985750215E-2</v>
      </c>
      <c r="M32" s="147">
        <f t="shared" si="16"/>
        <v>-9.8072087175188602E-2</v>
      </c>
      <c r="N32" s="147">
        <f t="shared" si="17"/>
        <v>-8.4241408214585076E-2</v>
      </c>
      <c r="O32" s="147">
        <f t="shared" si="18"/>
        <v>-6.7057837384744343E-2</v>
      </c>
      <c r="P32" s="147">
        <f t="shared" si="19"/>
        <v>-4.568315171835708E-2</v>
      </c>
      <c r="Q32" s="147">
        <f t="shared" si="20"/>
        <v>-3.3528918692372171E-3</v>
      </c>
      <c r="R32" s="147">
        <f t="shared" si="21"/>
        <v>2.4308466051969825E-2</v>
      </c>
      <c r="S32" s="147">
        <f t="shared" si="22"/>
        <v>2.1374685666387259E-2</v>
      </c>
      <c r="T32" s="147">
        <f t="shared" si="23"/>
        <v>4.0234702430846606E-2</v>
      </c>
      <c r="U32" s="147">
        <f t="shared" si="24"/>
        <v>-0.22925398155909471</v>
      </c>
      <c r="V32" s="147">
        <f t="shared" si="25"/>
        <v>-0.24559932942162616</v>
      </c>
      <c r="W32" s="147">
        <f t="shared" si="26"/>
        <v>-0.11232187761944677</v>
      </c>
      <c r="Y32" t="s">
        <v>197</v>
      </c>
      <c r="Z32" s="214">
        <v>5.73</v>
      </c>
    </row>
    <row r="33" spans="1:26" x14ac:dyDescent="0.25">
      <c r="A33" s="143" t="s">
        <v>312</v>
      </c>
      <c r="B33" s="147">
        <f t="shared" si="5"/>
        <v>0</v>
      </c>
      <c r="C33" s="147">
        <f t="shared" si="6"/>
        <v>-1.282051282051282E-2</v>
      </c>
      <c r="D33" s="147">
        <f t="shared" si="7"/>
        <v>-3.2051282051282048E-2</v>
      </c>
      <c r="E33" s="147">
        <f t="shared" si="8"/>
        <v>-5.7692307692307696E-2</v>
      </c>
      <c r="F33" s="147">
        <f t="shared" si="9"/>
        <v>-6.4102564102564097E-2</v>
      </c>
      <c r="G33" s="147">
        <f t="shared" si="10"/>
        <v>-0.38461538461538464</v>
      </c>
      <c r="H33" s="147">
        <f t="shared" si="11"/>
        <v>-0.50641025641025639</v>
      </c>
      <c r="I33" s="147">
        <f t="shared" si="12"/>
        <v>-0.51282051282051277</v>
      </c>
      <c r="J33" s="147">
        <f t="shared" si="13"/>
        <v>-0.51282051282051277</v>
      </c>
      <c r="K33" s="147">
        <f t="shared" si="14"/>
        <v>-0.46153846153846156</v>
      </c>
      <c r="L33" s="147">
        <f t="shared" si="15"/>
        <v>-0.45512820512820512</v>
      </c>
      <c r="M33" s="147">
        <f t="shared" si="16"/>
        <v>-0.5</v>
      </c>
      <c r="N33" s="147">
        <f t="shared" si="17"/>
        <v>-0.51923076923076927</v>
      </c>
      <c r="O33" s="147">
        <f t="shared" si="18"/>
        <v>-0.51923076923076927</v>
      </c>
      <c r="P33" s="147">
        <f t="shared" si="19"/>
        <v>-0.53846153846153844</v>
      </c>
      <c r="Q33" s="147">
        <f t="shared" si="20"/>
        <v>-0.55769230769230771</v>
      </c>
      <c r="R33" s="147">
        <f t="shared" si="21"/>
        <v>-0.57692307692307687</v>
      </c>
      <c r="S33" s="147">
        <f t="shared" si="22"/>
        <v>-0.65384615384615385</v>
      </c>
      <c r="T33" s="147">
        <f t="shared" si="23"/>
        <v>-0.67948717948717952</v>
      </c>
      <c r="U33" s="147">
        <f t="shared" si="24"/>
        <v>-0.64743589743589747</v>
      </c>
      <c r="V33" s="147">
        <f t="shared" si="25"/>
        <v>-0.69871794871794868</v>
      </c>
      <c r="W33" s="147">
        <f t="shared" si="26"/>
        <v>-0.74358974358974361</v>
      </c>
      <c r="Y33" t="s">
        <v>312</v>
      </c>
      <c r="Z33" s="214">
        <v>7.1</v>
      </c>
    </row>
    <row r="34" spans="1:26" x14ac:dyDescent="0.25">
      <c r="A34" s="143" t="s">
        <v>197</v>
      </c>
      <c r="B34" s="147">
        <f t="shared" si="5"/>
        <v>0</v>
      </c>
      <c r="C34" s="147">
        <f t="shared" si="6"/>
        <v>1.7507723995880537E-2</v>
      </c>
      <c r="D34" s="147">
        <f t="shared" si="7"/>
        <v>2.8836251287332648E-2</v>
      </c>
      <c r="E34" s="147">
        <f t="shared" si="8"/>
        <v>1.4418125643666324E-2</v>
      </c>
      <c r="F34" s="147">
        <f t="shared" si="9"/>
        <v>5.1493305870236872E-3</v>
      </c>
      <c r="G34" s="147">
        <f t="shared" si="10"/>
        <v>6.1791967044284241E-3</v>
      </c>
      <c r="H34" s="147">
        <f t="shared" si="11"/>
        <v>1.5447991761071062E-2</v>
      </c>
      <c r="I34" s="147">
        <f t="shared" si="12"/>
        <v>1.2358393408856848E-2</v>
      </c>
      <c r="J34" s="147">
        <f t="shared" si="13"/>
        <v>1.8537590113285273E-2</v>
      </c>
      <c r="K34" s="147">
        <f t="shared" si="14"/>
        <v>3.604531410916581E-2</v>
      </c>
      <c r="L34" s="147">
        <f t="shared" si="15"/>
        <v>7.8269824922760037E-2</v>
      </c>
      <c r="M34" s="147">
        <f t="shared" si="16"/>
        <v>4.8403707518022657E-2</v>
      </c>
      <c r="N34" s="147">
        <f t="shared" si="17"/>
        <v>2.7806385169927908E-2</v>
      </c>
      <c r="O34" s="147">
        <f t="shared" si="18"/>
        <v>2.7806385169927908E-2</v>
      </c>
      <c r="P34" s="147">
        <f t="shared" si="19"/>
        <v>1.9567456230690009E-2</v>
      </c>
      <c r="Q34" s="147">
        <f t="shared" si="20"/>
        <v>-2.7806385169927908E-2</v>
      </c>
      <c r="R34" s="147">
        <f t="shared" si="21"/>
        <v>-6.2821833161688975E-2</v>
      </c>
      <c r="S34" s="147">
        <f t="shared" si="22"/>
        <v>-0.12461380020597322</v>
      </c>
      <c r="T34" s="147">
        <f t="shared" si="23"/>
        <v>-0.18846549948506694</v>
      </c>
      <c r="U34" s="147">
        <f t="shared" si="24"/>
        <v>-0.28424304840370751</v>
      </c>
      <c r="V34" s="147">
        <f t="shared" si="25"/>
        <v>-0.39546858908341914</v>
      </c>
      <c r="W34" s="147">
        <f t="shared" si="26"/>
        <v>-0.43254376930998972</v>
      </c>
      <c r="Y34" t="s">
        <v>311</v>
      </c>
      <c r="Z34" s="214">
        <v>7.9200000000000008</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315</v>
      </c>
      <c r="B36" s="315"/>
      <c r="C36" s="315"/>
      <c r="D36" s="315"/>
      <c r="E36" s="315"/>
      <c r="F36" s="315"/>
      <c r="G36" s="315"/>
      <c r="H36" s="315"/>
      <c r="I36" s="315"/>
      <c r="J36" s="315"/>
      <c r="K36" s="315"/>
      <c r="L36" s="315"/>
      <c r="M36" s="315"/>
      <c r="N36" s="315"/>
      <c r="O36" s="315"/>
      <c r="P36" s="315"/>
      <c r="Q36" s="315"/>
      <c r="R36" s="315"/>
      <c r="S36" s="315"/>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308</v>
      </c>
      <c r="B38" s="168">
        <v>7.66</v>
      </c>
      <c r="C38" s="168">
        <v>8.74</v>
      </c>
      <c r="D38" s="168">
        <v>8.89</v>
      </c>
      <c r="E38" s="168">
        <v>9.1999999999999993</v>
      </c>
      <c r="F38" s="168">
        <v>8.91</v>
      </c>
      <c r="G38" s="168">
        <v>8.73</v>
      </c>
      <c r="H38" s="168">
        <v>8.6</v>
      </c>
      <c r="I38" s="168">
        <v>8.8800000000000008</v>
      </c>
      <c r="J38" s="168">
        <v>9.24</v>
      </c>
      <c r="K38" s="168">
        <v>9.18</v>
      </c>
      <c r="L38" s="168">
        <v>9.26</v>
      </c>
      <c r="M38" s="168">
        <v>9.69</v>
      </c>
      <c r="N38" s="168">
        <v>10.130000000000001</v>
      </c>
      <c r="O38" s="168">
        <v>10.38</v>
      </c>
      <c r="P38" s="168">
        <v>10.82</v>
      </c>
      <c r="Q38" s="168">
        <v>11</v>
      </c>
      <c r="R38" s="168">
        <v>11.29</v>
      </c>
      <c r="S38" s="169">
        <v>11.61</v>
      </c>
      <c r="T38" s="214">
        <f>S38-(B38*1.4985)</f>
        <v>0.13148999999999944</v>
      </c>
      <c r="U38" s="220">
        <f>T38/B38</f>
        <v>1.7165796344647447E-2</v>
      </c>
    </row>
    <row r="39" spans="1:26" ht="15.75" thickTop="1" x14ac:dyDescent="0.25">
      <c r="A39" s="143" t="s">
        <v>309</v>
      </c>
      <c r="B39" s="150">
        <v>8.3699999999999992</v>
      </c>
      <c r="C39" s="150">
        <v>8.66</v>
      </c>
      <c r="D39" s="150">
        <v>8.83</v>
      </c>
      <c r="E39" s="150">
        <v>9.16</v>
      </c>
      <c r="F39" s="150">
        <v>9.19</v>
      </c>
      <c r="G39" s="150">
        <v>9.25</v>
      </c>
      <c r="H39" s="150">
        <v>9.42</v>
      </c>
      <c r="I39" s="150">
        <v>9.8699999999999992</v>
      </c>
      <c r="J39" s="150">
        <v>10</v>
      </c>
      <c r="K39" s="150">
        <v>10.039999999999999</v>
      </c>
      <c r="L39" s="150">
        <v>10.16</v>
      </c>
      <c r="M39" s="150">
        <v>10.46</v>
      </c>
      <c r="N39" s="150">
        <v>10.71</v>
      </c>
      <c r="O39" s="150">
        <v>11.17</v>
      </c>
      <c r="P39" s="150">
        <v>11.86</v>
      </c>
      <c r="Q39" s="150">
        <v>12.21</v>
      </c>
      <c r="R39" s="150">
        <v>12.88</v>
      </c>
      <c r="S39" s="151">
        <v>12.92</v>
      </c>
      <c r="T39" s="214">
        <f t="shared" ref="T39:T43" si="27">S39-(B39*1.4985)</f>
        <v>0.37755500000000097</v>
      </c>
      <c r="U39" s="220">
        <f>T39/B39</f>
        <v>4.5108124253285663E-2</v>
      </c>
    </row>
    <row r="40" spans="1:26" x14ac:dyDescent="0.25">
      <c r="A40" s="143" t="s">
        <v>310</v>
      </c>
      <c r="B40" s="150">
        <v>10.58</v>
      </c>
      <c r="C40" s="150">
        <v>10.78</v>
      </c>
      <c r="D40" s="150">
        <v>9.73</v>
      </c>
      <c r="E40" s="150">
        <v>11.3</v>
      </c>
      <c r="F40" s="150">
        <v>12.37</v>
      </c>
      <c r="G40" s="150">
        <v>11.63</v>
      </c>
      <c r="H40" s="150">
        <v>8.8800000000000008</v>
      </c>
      <c r="I40" s="150">
        <v>8.85</v>
      </c>
      <c r="J40" s="150">
        <v>9.35</v>
      </c>
      <c r="K40" s="150">
        <v>9.0500000000000007</v>
      </c>
      <c r="L40" s="150">
        <v>9.56</v>
      </c>
      <c r="M40" s="150">
        <v>9.81</v>
      </c>
      <c r="N40" s="150">
        <v>13.09</v>
      </c>
      <c r="O40" s="150">
        <v>14.13</v>
      </c>
      <c r="P40" s="150">
        <v>12.51</v>
      </c>
      <c r="Q40" s="150">
        <v>13.67</v>
      </c>
      <c r="R40" s="150">
        <v>13.24</v>
      </c>
      <c r="S40" s="151">
        <v>13.09</v>
      </c>
      <c r="T40" s="214">
        <f t="shared" si="27"/>
        <v>-2.7641299999999998</v>
      </c>
      <c r="U40" s="220">
        <f t="shared" ref="U40:U43" si="28">T40/B40</f>
        <v>-0.26125992438563322</v>
      </c>
    </row>
    <row r="41" spans="1:26" x14ac:dyDescent="0.25">
      <c r="A41" s="143" t="s">
        <v>311</v>
      </c>
      <c r="B41" s="150">
        <v>6.21</v>
      </c>
      <c r="C41" s="150">
        <v>6.19</v>
      </c>
      <c r="D41" s="150">
        <v>7.25</v>
      </c>
      <c r="E41" s="150">
        <v>7.64</v>
      </c>
      <c r="F41" s="150">
        <v>7.95</v>
      </c>
      <c r="G41" s="150">
        <v>8.44</v>
      </c>
      <c r="H41" s="150">
        <v>8.7200000000000006</v>
      </c>
      <c r="I41" s="150">
        <v>8.7799999999999994</v>
      </c>
      <c r="J41" s="150">
        <v>8.44</v>
      </c>
      <c r="K41" s="150">
        <v>8.6300000000000008</v>
      </c>
      <c r="L41" s="150">
        <v>9.1199999999999992</v>
      </c>
      <c r="M41" s="150">
        <v>9.6</v>
      </c>
      <c r="N41" s="150">
        <v>9.84</v>
      </c>
      <c r="O41" s="150">
        <v>10.29</v>
      </c>
      <c r="P41" s="150">
        <v>10.57</v>
      </c>
      <c r="Q41" s="150">
        <v>11.07</v>
      </c>
      <c r="R41" s="150">
        <v>13.03</v>
      </c>
      <c r="S41" s="151">
        <v>14.13</v>
      </c>
      <c r="T41" s="214">
        <f t="shared" si="27"/>
        <v>4.8243150000000004</v>
      </c>
      <c r="U41" s="220">
        <f t="shared" si="28"/>
        <v>0.77686231884057977</v>
      </c>
    </row>
    <row r="42" spans="1:26" x14ac:dyDescent="0.25">
      <c r="A42" s="143" t="s">
        <v>312</v>
      </c>
      <c r="B42" s="150">
        <v>10.42</v>
      </c>
      <c r="C42" s="150">
        <v>11.64</v>
      </c>
      <c r="D42" s="150">
        <v>11.88</v>
      </c>
      <c r="E42" s="150">
        <v>12.52</v>
      </c>
      <c r="F42" s="150">
        <v>12.42</v>
      </c>
      <c r="G42" s="150">
        <v>11.79</v>
      </c>
      <c r="H42" s="150">
        <v>11.89</v>
      </c>
      <c r="I42" s="150">
        <v>12.44</v>
      </c>
      <c r="J42" s="150">
        <v>12.32</v>
      </c>
      <c r="K42" s="150">
        <v>12.47</v>
      </c>
      <c r="L42" s="150">
        <v>12.64</v>
      </c>
      <c r="M42" s="150">
        <v>12.62</v>
      </c>
      <c r="N42" s="150">
        <v>15.34</v>
      </c>
      <c r="O42" s="150">
        <v>16.41</v>
      </c>
      <c r="P42" s="150">
        <v>15.42</v>
      </c>
      <c r="Q42" s="150">
        <v>11.8</v>
      </c>
      <c r="R42" s="150">
        <v>18.239999999999998</v>
      </c>
      <c r="S42" s="151">
        <v>17.52</v>
      </c>
      <c r="T42" s="214">
        <f t="shared" si="27"/>
        <v>1.9056300000000004</v>
      </c>
      <c r="U42" s="220">
        <f t="shared" si="28"/>
        <v>0.18288195777351252</v>
      </c>
    </row>
    <row r="43" spans="1:26" x14ac:dyDescent="0.25">
      <c r="A43" s="143" t="s">
        <v>197</v>
      </c>
      <c r="B43" s="152">
        <v>10.01</v>
      </c>
      <c r="C43" s="152">
        <v>10.4</v>
      </c>
      <c r="D43" s="152">
        <v>10.8</v>
      </c>
      <c r="E43" s="152">
        <v>10.89</v>
      </c>
      <c r="F43" s="152">
        <v>11.04</v>
      </c>
      <c r="G43" s="152">
        <v>10.54</v>
      </c>
      <c r="H43" s="152">
        <v>10.8</v>
      </c>
      <c r="I43" s="152">
        <v>11.26</v>
      </c>
      <c r="J43" s="152">
        <v>11.74</v>
      </c>
      <c r="K43" s="152">
        <v>11.32</v>
      </c>
      <c r="L43" s="152">
        <v>11.06</v>
      </c>
      <c r="M43" s="152">
        <v>11.05</v>
      </c>
      <c r="N43" s="152">
        <v>11.87</v>
      </c>
      <c r="O43" s="152">
        <v>12.38</v>
      </c>
      <c r="P43" s="152">
        <v>13.4</v>
      </c>
      <c r="Q43" s="152">
        <v>13.12</v>
      </c>
      <c r="R43" s="152">
        <v>15.44</v>
      </c>
      <c r="S43" s="153">
        <v>15.74</v>
      </c>
      <c r="T43" s="214">
        <f t="shared" si="27"/>
        <v>0.74001500000000142</v>
      </c>
      <c r="U43" s="220">
        <f t="shared" si="28"/>
        <v>7.3927572427572572E-2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316</v>
      </c>
      <c r="B46" s="315"/>
      <c r="C46" s="315"/>
      <c r="D46" s="315"/>
      <c r="E46" s="315"/>
      <c r="F46" s="315"/>
      <c r="G46" s="315"/>
      <c r="H46" s="315"/>
      <c r="I46" s="315"/>
      <c r="J46" s="315"/>
      <c r="K46" s="315"/>
      <c r="L46" s="315"/>
      <c r="M46" s="315"/>
      <c r="N46" s="315"/>
      <c r="O46" s="315"/>
      <c r="P46" s="315"/>
      <c r="Q46" s="315"/>
      <c r="R46" s="315"/>
      <c r="S46" s="315"/>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308</v>
      </c>
      <c r="B48" s="167">
        <f>(B38-B38)/B38</f>
        <v>0</v>
      </c>
      <c r="C48" s="167">
        <f>(C38-B38)/B38</f>
        <v>0.14099216710182769</v>
      </c>
      <c r="D48" s="167">
        <f>(D38-B38)/B38</f>
        <v>0.16057441253263713</v>
      </c>
      <c r="E48" s="167">
        <f>(E38-B38)/B38</f>
        <v>0.2010443864229764</v>
      </c>
      <c r="F48" s="167">
        <f>(F38-B38)/B38</f>
        <v>0.16318537859007834</v>
      </c>
      <c r="G48" s="167">
        <f>(G38-B38)/B38</f>
        <v>0.13968668407310708</v>
      </c>
      <c r="H48" s="167">
        <f>(H38-B38)/B38</f>
        <v>0.12271540469973884</v>
      </c>
      <c r="I48" s="167">
        <f>(I38-B38)/B38</f>
        <v>0.15926892950391652</v>
      </c>
      <c r="J48" s="167">
        <f>(J38-B38)/B38</f>
        <v>0.20626631853785901</v>
      </c>
      <c r="K48" s="167">
        <f>(K38-B38)/B38</f>
        <v>0.19843342036553518</v>
      </c>
      <c r="L48" s="167">
        <f>(L38-B38)/B38</f>
        <v>0.20887728459530022</v>
      </c>
      <c r="M48" s="167">
        <f>(M38-B38)/B38</f>
        <v>0.26501305483028714</v>
      </c>
      <c r="N48" s="167">
        <f>(N38-B38)/B38</f>
        <v>0.32245430809399483</v>
      </c>
      <c r="O48" s="167">
        <f>(O38-B38)/B38</f>
        <v>0.3550913838120105</v>
      </c>
      <c r="P48" s="167">
        <f>(P38-B38)/B38</f>
        <v>0.41253263707571802</v>
      </c>
      <c r="Q48" s="167">
        <f>(Q38-B38)/B38</f>
        <v>0.43603133159268925</v>
      </c>
      <c r="R48" s="167">
        <f>(R38-B38)/B38</f>
        <v>0.47389033942558734</v>
      </c>
      <c r="S48" s="167">
        <f>(S38-B38)/B38</f>
        <v>0.51566579634464738</v>
      </c>
    </row>
    <row r="49" spans="1:19" ht="15.75" thickTop="1" x14ac:dyDescent="0.25">
      <c r="A49" s="143" t="s">
        <v>309</v>
      </c>
      <c r="B49" s="147">
        <f>(B39-B39)/B39</f>
        <v>0</v>
      </c>
      <c r="C49" s="147">
        <f>(C39-B39)/B39</f>
        <v>3.4647550776583151E-2</v>
      </c>
      <c r="D49" s="147">
        <f>(D39-B39)/B39</f>
        <v>5.495818399044216E-2</v>
      </c>
      <c r="E49" s="147">
        <f>(E39-B39)/B39</f>
        <v>9.4384707287933217E-2</v>
      </c>
      <c r="F49" s="147">
        <f>(F39-B39)/B39</f>
        <v>9.7968936678614144E-2</v>
      </c>
      <c r="G49" s="147">
        <f>(G39-B39)/B39</f>
        <v>0.1051373954599762</v>
      </c>
      <c r="H49" s="147">
        <f>(H39-B39)/B39</f>
        <v>0.12544802867383523</v>
      </c>
      <c r="I49" s="147">
        <f>(I39-B39)/B39</f>
        <v>0.17921146953405021</v>
      </c>
      <c r="J49" s="147">
        <f>(J39-B39)/B39</f>
        <v>0.19474313022700129</v>
      </c>
      <c r="K49" s="147">
        <f>(K39-B39)/B39</f>
        <v>0.19952210274790921</v>
      </c>
      <c r="L49" s="147">
        <f>(L39-B39)/B39</f>
        <v>0.21385902031063334</v>
      </c>
      <c r="M49" s="147">
        <f>(M39-B39)/B39</f>
        <v>0.24970131421744346</v>
      </c>
      <c r="N49" s="147">
        <f>(N39-B39)/B39</f>
        <v>0.27956989247311848</v>
      </c>
      <c r="O49" s="147">
        <f>(O39-B39)/B39</f>
        <v>0.33452807646356048</v>
      </c>
      <c r="P49" s="147">
        <f>(P39-B39)/B39</f>
        <v>0.4169653524492235</v>
      </c>
      <c r="Q49" s="147">
        <f>(Q39-B39)/B39</f>
        <v>0.45878136200716868</v>
      </c>
      <c r="R49" s="147">
        <f>(R39-B39)/B39</f>
        <v>0.53882915173237778</v>
      </c>
      <c r="S49" s="147">
        <f>(S39-B39)/B39</f>
        <v>0.54360812425328564</v>
      </c>
    </row>
    <row r="50" spans="1:19" x14ac:dyDescent="0.25">
      <c r="A50" s="143" t="s">
        <v>310</v>
      </c>
      <c r="B50" s="147">
        <f t="shared" ref="B50:B53" si="29">(B40-B40)/B40</f>
        <v>0</v>
      </c>
      <c r="C50" s="147">
        <f t="shared" ref="C50:C53" si="30">(C40-B40)/B40</f>
        <v>1.8903591682419594E-2</v>
      </c>
      <c r="D50" s="147">
        <f t="shared" ref="D50:D53" si="31">(D40-B40)/B40</f>
        <v>-8.0340264650283516E-2</v>
      </c>
      <c r="E50" s="147">
        <f t="shared" ref="E50:E53" si="32">(E40-B40)/B40</f>
        <v>6.8052930056710842E-2</v>
      </c>
      <c r="F50" s="147">
        <f t="shared" ref="F50:F53" si="33">(F40-B40)/B40</f>
        <v>0.16918714555765588</v>
      </c>
      <c r="G50" s="147">
        <f t="shared" ref="G50:G53" si="34">(G40-B40)/B40</f>
        <v>9.9243856332703287E-2</v>
      </c>
      <c r="H50" s="147">
        <f t="shared" ref="H50:H53" si="35">(H40-B40)/B40</f>
        <v>-0.16068052930056703</v>
      </c>
      <c r="I50" s="147">
        <f t="shared" ref="I50:I53" si="36">(I40-B40)/B40</f>
        <v>-0.16351606805293009</v>
      </c>
      <c r="J50" s="147">
        <f t="shared" ref="J50:J53" si="37">(J40-B40)/B40</f>
        <v>-0.11625708884688095</v>
      </c>
      <c r="K50" s="147">
        <f t="shared" ref="K50:K53" si="38">(K40-B40)/B40</f>
        <v>-0.14461247637051033</v>
      </c>
      <c r="L50" s="147">
        <f t="shared" ref="L50:L53" si="39">(L40-B40)/B40</f>
        <v>-9.6408317580340228E-2</v>
      </c>
      <c r="M50" s="147">
        <f t="shared" ref="M50:M53" si="40">(M40-B40)/B40</f>
        <v>-7.2778827977315649E-2</v>
      </c>
      <c r="N50" s="147">
        <f t="shared" ref="N50:N53" si="41">(N40-B40)/B40</f>
        <v>0.23724007561436672</v>
      </c>
      <c r="O50" s="147">
        <f t="shared" ref="O50:O53" si="42">(O40-B40)/B40</f>
        <v>0.335538752362949</v>
      </c>
      <c r="P50" s="147">
        <f t="shared" ref="P50:P53" si="43">(P40-B40)/B40</f>
        <v>0.18241965973534968</v>
      </c>
      <c r="Q50" s="147">
        <f t="shared" ref="Q50:Q53" si="44">(Q40-B40)/B40</f>
        <v>0.2920604914933837</v>
      </c>
      <c r="R50" s="147">
        <f t="shared" ref="R50:R53" si="45">(R40-B40)/B40</f>
        <v>0.25141776937618149</v>
      </c>
      <c r="S50" s="147">
        <f t="shared" ref="S50:S52" si="46">(S40-B40)/B40</f>
        <v>0.23724007561436672</v>
      </c>
    </row>
    <row r="51" spans="1:19" x14ac:dyDescent="0.25">
      <c r="A51" s="143" t="s">
        <v>311</v>
      </c>
      <c r="B51" s="147">
        <f t="shared" si="29"/>
        <v>0</v>
      </c>
      <c r="C51" s="147">
        <f t="shared" si="30"/>
        <v>-3.2206119162640216E-3</v>
      </c>
      <c r="D51" s="147">
        <f t="shared" si="31"/>
        <v>0.16747181964573268</v>
      </c>
      <c r="E51" s="147">
        <f t="shared" si="32"/>
        <v>0.23027375201288242</v>
      </c>
      <c r="F51" s="147">
        <f t="shared" si="33"/>
        <v>0.28019323671497587</v>
      </c>
      <c r="G51" s="147">
        <f t="shared" si="34"/>
        <v>0.35909822866344598</v>
      </c>
      <c r="H51" s="147">
        <f t="shared" si="35"/>
        <v>0.40418679549114345</v>
      </c>
      <c r="I51" s="147">
        <f t="shared" si="36"/>
        <v>0.41384863123993548</v>
      </c>
      <c r="J51" s="147">
        <f t="shared" si="37"/>
        <v>0.35909822866344598</v>
      </c>
      <c r="K51" s="147">
        <f t="shared" si="38"/>
        <v>0.38969404186795503</v>
      </c>
      <c r="L51" s="147">
        <f t="shared" si="39"/>
        <v>0.46859903381642498</v>
      </c>
      <c r="M51" s="147">
        <f t="shared" si="40"/>
        <v>0.54589371980676327</v>
      </c>
      <c r="N51" s="147">
        <f t="shared" si="41"/>
        <v>0.5845410628019323</v>
      </c>
      <c r="O51" s="147">
        <f t="shared" si="42"/>
        <v>0.65700483091787432</v>
      </c>
      <c r="P51" s="147">
        <f t="shared" si="43"/>
        <v>0.70209339774557167</v>
      </c>
      <c r="Q51" s="147">
        <f t="shared" si="44"/>
        <v>0.78260869565217395</v>
      </c>
      <c r="R51" s="147">
        <f t="shared" si="45"/>
        <v>1.0982286634460547</v>
      </c>
      <c r="S51" s="147">
        <f t="shared" si="46"/>
        <v>1.2753623188405798</v>
      </c>
    </row>
    <row r="52" spans="1:19" x14ac:dyDescent="0.25">
      <c r="A52" s="143" t="s">
        <v>312</v>
      </c>
      <c r="B52" s="147">
        <f t="shared" si="29"/>
        <v>0</v>
      </c>
      <c r="C52" s="147">
        <f t="shared" si="30"/>
        <v>0.1170825335892515</v>
      </c>
      <c r="D52" s="147">
        <f t="shared" si="31"/>
        <v>0.14011516314779279</v>
      </c>
      <c r="E52" s="147">
        <f t="shared" si="32"/>
        <v>0.20153550863723604</v>
      </c>
      <c r="F52" s="147">
        <f t="shared" si="33"/>
        <v>0.19193857965451055</v>
      </c>
      <c r="G52" s="147">
        <f t="shared" si="34"/>
        <v>0.13147792706333966</v>
      </c>
      <c r="H52" s="147">
        <f t="shared" si="35"/>
        <v>0.14107485604606532</v>
      </c>
      <c r="I52" s="147">
        <f t="shared" si="36"/>
        <v>0.19385796545105563</v>
      </c>
      <c r="J52" s="147">
        <f t="shared" si="37"/>
        <v>0.18234165067178507</v>
      </c>
      <c r="K52" s="147">
        <f t="shared" si="38"/>
        <v>0.1967370441458734</v>
      </c>
      <c r="L52" s="147">
        <f t="shared" si="39"/>
        <v>0.21305182341650677</v>
      </c>
      <c r="M52" s="147">
        <f t="shared" si="40"/>
        <v>0.21113243761996153</v>
      </c>
      <c r="N52" s="147">
        <f t="shared" si="41"/>
        <v>0.47216890595009597</v>
      </c>
      <c r="O52" s="147">
        <f t="shared" si="42"/>
        <v>0.5748560460652592</v>
      </c>
      <c r="P52" s="147">
        <f t="shared" si="43"/>
        <v>0.47984644913627639</v>
      </c>
      <c r="Q52" s="147">
        <f t="shared" si="44"/>
        <v>0.13243761996161235</v>
      </c>
      <c r="R52" s="147">
        <f t="shared" si="45"/>
        <v>0.75047984644913612</v>
      </c>
      <c r="S52" s="147">
        <f t="shared" si="46"/>
        <v>0.6813819577735124</v>
      </c>
    </row>
    <row r="53" spans="1:19" x14ac:dyDescent="0.25">
      <c r="A53" s="143" t="s">
        <v>197</v>
      </c>
      <c r="B53" s="147">
        <f t="shared" si="29"/>
        <v>0</v>
      </c>
      <c r="C53" s="147">
        <f t="shared" si="30"/>
        <v>3.8961038961039016E-2</v>
      </c>
      <c r="D53" s="147">
        <f t="shared" si="31"/>
        <v>7.892107892107901E-2</v>
      </c>
      <c r="E53" s="147">
        <f t="shared" si="32"/>
        <v>8.7912087912087988E-2</v>
      </c>
      <c r="F53" s="147">
        <f t="shared" si="33"/>
        <v>0.10289710289710284</v>
      </c>
      <c r="G53" s="147">
        <f t="shared" si="34"/>
        <v>5.2947052947052882E-2</v>
      </c>
      <c r="H53" s="147">
        <f t="shared" si="35"/>
        <v>7.892107892107901E-2</v>
      </c>
      <c r="I53" s="147">
        <f t="shared" si="36"/>
        <v>0.12487512487512488</v>
      </c>
      <c r="J53" s="147">
        <f t="shared" si="37"/>
        <v>0.17282717282717289</v>
      </c>
      <c r="K53" s="147">
        <f t="shared" si="38"/>
        <v>0.13086913086913093</v>
      </c>
      <c r="L53" s="147">
        <f t="shared" si="39"/>
        <v>0.10489510489510497</v>
      </c>
      <c r="M53" s="147">
        <f t="shared" si="40"/>
        <v>0.10389610389610399</v>
      </c>
      <c r="N53" s="147">
        <f t="shared" si="41"/>
        <v>0.18581418581418577</v>
      </c>
      <c r="O53" s="147">
        <f t="shared" si="42"/>
        <v>0.23676323676323688</v>
      </c>
      <c r="P53" s="147">
        <f t="shared" si="43"/>
        <v>0.33866133866133874</v>
      </c>
      <c r="Q53" s="147">
        <f t="shared" si="44"/>
        <v>0.31068931068931066</v>
      </c>
      <c r="R53" s="147">
        <f t="shared" si="45"/>
        <v>0.54245754245754241</v>
      </c>
      <c r="S53" s="147">
        <f>(S43-B43)/B43</f>
        <v>0.57242757242757247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B18" sqref="B18:S1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9" t="s">
        <v>317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3" spans="1:28" ht="15.75" x14ac:dyDescent="0.25">
      <c r="A3" s="315" t="s">
        <v>318</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223</v>
      </c>
      <c r="B5" s="144">
        <f>'4C'!B19</f>
        <v>1426</v>
      </c>
      <c r="C5" s="144">
        <f>'4C'!C19</f>
        <v>1529</v>
      </c>
      <c r="D5" s="144">
        <f>'4C'!D19</f>
        <v>1504</v>
      </c>
      <c r="E5" s="144">
        <f>'4C'!E19</f>
        <v>1430</v>
      </c>
      <c r="F5" s="144">
        <f>'4C'!F19</f>
        <v>1370</v>
      </c>
      <c r="G5" s="144">
        <f>'4C'!G19</f>
        <v>1332</v>
      </c>
      <c r="H5" s="144">
        <f>'4C'!H19</f>
        <v>1225</v>
      </c>
      <c r="I5" s="144">
        <f>'4C'!I19</f>
        <v>1143</v>
      </c>
      <c r="J5" s="144">
        <f>'4C'!J19</f>
        <v>1124</v>
      </c>
      <c r="K5" s="144">
        <f>'4C'!K19</f>
        <v>1048</v>
      </c>
      <c r="L5" s="144">
        <f>'4C'!L19</f>
        <v>1058</v>
      </c>
      <c r="M5" s="144">
        <f>'4C'!M19</f>
        <v>1112</v>
      </c>
      <c r="N5" s="144">
        <f>'4C'!N19</f>
        <v>998</v>
      </c>
      <c r="O5" s="144">
        <f>'4C'!O19</f>
        <v>899</v>
      </c>
      <c r="P5" s="144">
        <f>'4C'!P19</f>
        <v>751</v>
      </c>
      <c r="Q5" s="144">
        <f>'4C'!Q19</f>
        <v>730</v>
      </c>
      <c r="R5" s="144">
        <f>'4C'!R19</f>
        <v>690</v>
      </c>
      <c r="S5" s="144">
        <f>'4C'!S19</f>
        <v>725</v>
      </c>
      <c r="T5" s="144">
        <f>'4C'!T19</f>
        <v>741</v>
      </c>
      <c r="U5" s="144">
        <f>'4C'!U19</f>
        <v>748</v>
      </c>
      <c r="V5" s="144">
        <f>'4C'!V19</f>
        <v>758</v>
      </c>
      <c r="W5" s="144">
        <f>'4C'!W19</f>
        <v>785</v>
      </c>
      <c r="X5" s="145"/>
    </row>
    <row r="6" spans="1:28" x14ac:dyDescent="0.2">
      <c r="A6" s="143" t="s">
        <v>224</v>
      </c>
      <c r="B6" s="144">
        <v>46919</v>
      </c>
      <c r="C6" s="144">
        <v>48222</v>
      </c>
      <c r="D6" s="144">
        <v>48204</v>
      </c>
      <c r="E6" s="144">
        <v>48754</v>
      </c>
      <c r="F6" s="144">
        <v>49349</v>
      </c>
      <c r="G6" s="144">
        <v>48856</v>
      </c>
      <c r="H6" s="144">
        <v>47724</v>
      </c>
      <c r="I6" s="144">
        <v>45288</v>
      </c>
      <c r="J6" s="144">
        <v>44189</v>
      </c>
      <c r="K6" s="144">
        <v>40683</v>
      </c>
      <c r="L6" s="144">
        <v>41397</v>
      </c>
      <c r="M6" s="144">
        <v>40562</v>
      </c>
      <c r="N6" s="144">
        <v>39070</v>
      </c>
      <c r="O6" s="144">
        <v>38872</v>
      </c>
      <c r="P6" s="144">
        <v>37697</v>
      </c>
      <c r="Q6" s="144">
        <v>36365</v>
      </c>
      <c r="R6" s="144">
        <v>35038</v>
      </c>
      <c r="S6" s="144">
        <v>36687</v>
      </c>
      <c r="T6" s="144">
        <v>36383</v>
      </c>
      <c r="U6" s="144">
        <v>33323</v>
      </c>
      <c r="V6" s="144">
        <v>31504</v>
      </c>
      <c r="W6" s="144">
        <v>32753</v>
      </c>
      <c r="X6" s="145"/>
    </row>
    <row r="7" spans="1:28" x14ac:dyDescent="0.2">
      <c r="A7" s="143" t="s">
        <v>225</v>
      </c>
      <c r="B7" s="144">
        <v>1477063</v>
      </c>
      <c r="C7" s="144">
        <v>1531107</v>
      </c>
      <c r="D7" s="144">
        <v>1549442</v>
      </c>
      <c r="E7" s="144">
        <v>1558826</v>
      </c>
      <c r="F7" s="144">
        <v>1574291</v>
      </c>
      <c r="G7" s="144">
        <v>1612543</v>
      </c>
      <c r="H7" s="144">
        <v>1621834</v>
      </c>
      <c r="I7" s="144">
        <v>1616316</v>
      </c>
      <c r="J7" s="144">
        <v>1638892</v>
      </c>
      <c r="K7" s="144">
        <v>1590239</v>
      </c>
      <c r="L7" s="144">
        <v>1623075</v>
      </c>
      <c r="M7" s="144">
        <v>1671094</v>
      </c>
      <c r="N7" s="144">
        <v>1549480</v>
      </c>
      <c r="O7" s="144">
        <v>1572404</v>
      </c>
      <c r="P7" s="144">
        <v>1535660</v>
      </c>
      <c r="Q7" s="144">
        <v>1494125</v>
      </c>
      <c r="R7" s="144">
        <v>1453081</v>
      </c>
      <c r="S7" s="144">
        <v>1488009</v>
      </c>
      <c r="T7" s="144">
        <v>1442197</v>
      </c>
      <c r="U7" s="144">
        <v>1294051</v>
      </c>
      <c r="V7" s="144">
        <v>1212362</v>
      </c>
      <c r="W7" s="144">
        <v>1214918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319</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223</v>
      </c>
      <c r="B12" s="170">
        <f>(B5-B5)/B5</f>
        <v>0</v>
      </c>
      <c r="C12" s="170">
        <f>(C5-B5)/B5</f>
        <v>7.223001402524544E-2</v>
      </c>
      <c r="D12" s="170">
        <f>(D5-B5)/B5</f>
        <v>5.4698457223001401E-2</v>
      </c>
      <c r="E12" s="170">
        <f>(E5-B5)/B5</f>
        <v>2.8050490883590462E-3</v>
      </c>
      <c r="F12" s="170">
        <f>(F5-B5)/B5</f>
        <v>-3.9270687237026647E-2</v>
      </c>
      <c r="G12" s="170">
        <f>(G5-B5)/B5</f>
        <v>-6.5918653576437586E-2</v>
      </c>
      <c r="H12" s="170">
        <f>(H5-B5)/B5</f>
        <v>-0.14095371669004209</v>
      </c>
      <c r="I12" s="170">
        <f>(I5-B5)/B5</f>
        <v>-0.19845722300140253</v>
      </c>
      <c r="J12" s="170">
        <f>(J5-B5)/B5</f>
        <v>-0.21178120617110799</v>
      </c>
      <c r="K12" s="170">
        <f>(K5-B5)/B5</f>
        <v>-0.26507713884992989</v>
      </c>
      <c r="L12" s="170">
        <f>(L5-B5)/B5</f>
        <v>-0.25806451612903225</v>
      </c>
      <c r="M12" s="170">
        <f>(M5-B5)/B5</f>
        <v>-0.22019635343618513</v>
      </c>
      <c r="N12" s="170">
        <f>(N5-B5)/B5</f>
        <v>-0.30014025245441794</v>
      </c>
      <c r="O12" s="170">
        <f>(O5-B5)/B5</f>
        <v>-0.36956521739130432</v>
      </c>
      <c r="P12" s="170">
        <f>(P5-B5)/B5</f>
        <v>-0.47335203366058903</v>
      </c>
      <c r="Q12" s="170">
        <f>(Q5-B5)/B5</f>
        <v>-0.48807854137447404</v>
      </c>
      <c r="R12" s="170">
        <f>(R5-B5)/B5</f>
        <v>-0.5161290322580645</v>
      </c>
      <c r="S12" s="170">
        <f>(S5-B5)/B5</f>
        <v>-0.49158485273492286</v>
      </c>
      <c r="T12" s="170">
        <f>(T5-B5)/B5</f>
        <v>-0.48036465638148668</v>
      </c>
      <c r="U12" s="170">
        <f>(U5-B5)/B5</f>
        <v>-0.47545582047685836</v>
      </c>
      <c r="V12" s="170">
        <f>(V5-B5)/B5</f>
        <v>-0.46844319775596072</v>
      </c>
      <c r="W12" s="170">
        <f>(W5-B5)/B5</f>
        <v>-0.44950911640953717</v>
      </c>
    </row>
    <row r="13" spans="1:28" x14ac:dyDescent="0.2">
      <c r="A13" s="143" t="s">
        <v>224</v>
      </c>
      <c r="B13" s="170">
        <f>(B6-B6)/B6</f>
        <v>0</v>
      </c>
      <c r="C13" s="170">
        <f>(C6-B6)/B6</f>
        <v>2.7771265372237262E-2</v>
      </c>
      <c r="D13" s="170">
        <f>(D6-B6)/B6</f>
        <v>2.7387625482214028E-2</v>
      </c>
      <c r="E13" s="170">
        <f>(E6-B6)/B6</f>
        <v>3.9109955455146103E-2</v>
      </c>
      <c r="F13" s="170">
        <f>(F6-B6)/B6</f>
        <v>5.1791385153136256E-2</v>
      </c>
      <c r="G13" s="170">
        <f>(G6-B6)/B6</f>
        <v>4.1283914831944414E-2</v>
      </c>
      <c r="H13" s="170">
        <f>(H6-B6)/B6</f>
        <v>1.7157228414927856E-2</v>
      </c>
      <c r="I13" s="170">
        <f>(I6-B6)/B6</f>
        <v>-3.4762036701549481E-2</v>
      </c>
      <c r="J13" s="170">
        <f>(J6-B6)/B6</f>
        <v>-5.8185383320190118E-2</v>
      </c>
      <c r="K13" s="170">
        <f>(K6-B6)/B6</f>
        <v>-0.13290990856582621</v>
      </c>
      <c r="L13" s="170">
        <f>(L6-B6)/B6</f>
        <v>-0.11769219292823803</v>
      </c>
      <c r="M13" s="170">
        <f>(M6-B6)/B6</f>
        <v>-0.13548882115987126</v>
      </c>
      <c r="N13" s="170">
        <f>(N6-B6)/B6</f>
        <v>-0.16728830537735245</v>
      </c>
      <c r="O13" s="170">
        <f>(O6-B6)/B6</f>
        <v>-0.17150834416760802</v>
      </c>
      <c r="P13" s="170">
        <f>(P6-B6)/B6</f>
        <v>-0.19655150365523563</v>
      </c>
      <c r="Q13" s="170">
        <f>(Q6-B6)/B6</f>
        <v>-0.22494085551695475</v>
      </c>
      <c r="R13" s="170">
        <f>(R6-B6)/B6</f>
        <v>-0.25322364074255632</v>
      </c>
      <c r="S13" s="170">
        <f>(S6-B6)/B6</f>
        <v>-0.2180779641509836</v>
      </c>
      <c r="T13" s="170">
        <f>(T6-B6)/B6</f>
        <v>-0.22455721562693151</v>
      </c>
      <c r="U13" s="170">
        <f>(U6-B6)/B6</f>
        <v>-0.28977599693088085</v>
      </c>
      <c r="V13" s="170">
        <f>(V6-B6)/B6</f>
        <v>-0.3285449391504508</v>
      </c>
      <c r="W13" s="170">
        <f>(W6-B6)/B6</f>
        <v>-0.30192459344828321</v>
      </c>
    </row>
    <row r="14" spans="1:28" x14ac:dyDescent="0.2">
      <c r="A14" s="143" t="s">
        <v>225</v>
      </c>
      <c r="B14" s="170">
        <f>(B7-B7)/B7</f>
        <v>0</v>
      </c>
      <c r="C14" s="170">
        <f>(C7-B7)/B7</f>
        <v>3.6588825256607199E-2</v>
      </c>
      <c r="D14" s="170">
        <f>(D7-B7)/B7</f>
        <v>4.9001972156908678E-2</v>
      </c>
      <c r="E14" s="170">
        <f>(E7-B7)/B7</f>
        <v>5.5355120262304318E-2</v>
      </c>
      <c r="F14" s="170">
        <f>(F7-B7)/B7</f>
        <v>6.582522207922073E-2</v>
      </c>
      <c r="G14" s="170">
        <f>(G7-B7)/B7</f>
        <v>9.1722560242860324E-2</v>
      </c>
      <c r="H14" s="170">
        <f>(H7-B7)/B7</f>
        <v>9.8012745563323969E-2</v>
      </c>
      <c r="I14" s="170">
        <f>(I7-B7)/B7</f>
        <v>9.4276953657359233E-2</v>
      </c>
      <c r="J14" s="170">
        <f>(J7-B7)/B7</f>
        <v>0.10956133895439801</v>
      </c>
      <c r="K14" s="170">
        <f>(K7-B7)/B7</f>
        <v>7.6622324166267783E-2</v>
      </c>
      <c r="L14" s="170">
        <f>(L7-B7)/B7</f>
        <v>9.8852926381609987E-2</v>
      </c>
      <c r="M14" s="170">
        <f>(M7-B7)/B7</f>
        <v>0.13136271100149419</v>
      </c>
      <c r="N14" s="170">
        <f>(N7-B7)/B7</f>
        <v>4.9027698886235725E-2</v>
      </c>
      <c r="O14" s="170">
        <f>(O7-B7)/B7</f>
        <v>6.4547686862374859E-2</v>
      </c>
      <c r="P14" s="170">
        <f>(P7-B7)/B7</f>
        <v>3.9671293641503444E-2</v>
      </c>
      <c r="Q14" s="170">
        <f>(Q7-B7)/B7</f>
        <v>1.1551301467845313E-2</v>
      </c>
      <c r="R14" s="170">
        <f>(R7-B7)/B7</f>
        <v>-1.6236274282139626E-2</v>
      </c>
      <c r="S14" s="170">
        <f>(S7-B7)/B7</f>
        <v>7.4106520845759454E-3</v>
      </c>
      <c r="T14" s="170">
        <f>(T7-B7)/B7</f>
        <v>-2.360495117676091E-2</v>
      </c>
      <c r="U14" s="170">
        <f>(U7-B7)/B7</f>
        <v>-0.12390263651584259</v>
      </c>
      <c r="V14" s="170">
        <f>(V7-B7)/B7</f>
        <v>-0.17920765735787844</v>
      </c>
      <c r="W14" s="170">
        <f>(W7-B7)/B7</f>
        <v>-0.17747719630103795</v>
      </c>
    </row>
    <row r="16" spans="1:28" ht="15.75" x14ac:dyDescent="0.25">
      <c r="A16" s="315" t="s">
        <v>320</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223</v>
      </c>
      <c r="B18" s="150">
        <f>'4C'!B38</f>
        <v>7.66</v>
      </c>
      <c r="C18" s="150">
        <f>'4C'!C38</f>
        <v>8.74</v>
      </c>
      <c r="D18" s="150">
        <f>'4C'!D38</f>
        <v>8.89</v>
      </c>
      <c r="E18" s="150">
        <f>'4C'!E38</f>
        <v>9.1999999999999993</v>
      </c>
      <c r="F18" s="150">
        <f>'4C'!F38</f>
        <v>8.91</v>
      </c>
      <c r="G18" s="150">
        <f>'4C'!G38</f>
        <v>8.73</v>
      </c>
      <c r="H18" s="150">
        <f>'4C'!H38</f>
        <v>8.6</v>
      </c>
      <c r="I18" s="150">
        <f>'4C'!I38</f>
        <v>8.8800000000000008</v>
      </c>
      <c r="J18" s="150">
        <f>'4C'!J38</f>
        <v>9.24</v>
      </c>
      <c r="K18" s="150">
        <f>'4C'!K38</f>
        <v>9.18</v>
      </c>
      <c r="L18" s="150">
        <f>'4C'!L38</f>
        <v>9.26</v>
      </c>
      <c r="M18" s="150">
        <f>'4C'!M38</f>
        <v>9.69</v>
      </c>
      <c r="N18" s="150">
        <f>'4C'!N38</f>
        <v>10.130000000000001</v>
      </c>
      <c r="O18" s="150">
        <f>'4C'!O38</f>
        <v>10.38</v>
      </c>
      <c r="P18" s="150">
        <f>'4C'!P38</f>
        <v>10.82</v>
      </c>
      <c r="Q18" s="150">
        <f>'4C'!Q38</f>
        <v>11</v>
      </c>
      <c r="R18" s="150">
        <f>'4C'!R38</f>
        <v>11.29</v>
      </c>
      <c r="S18" s="150">
        <f>'4C'!S38</f>
        <v>11.61</v>
      </c>
      <c r="T18"/>
      <c r="U18"/>
      <c r="V18"/>
      <c r="W18"/>
    </row>
    <row r="19" spans="1:23" ht="15" x14ac:dyDescent="0.25">
      <c r="A19" s="143" t="s">
        <v>224</v>
      </c>
      <c r="B19" s="150">
        <v>8.08</v>
      </c>
      <c r="C19" s="150">
        <v>8.0500000000000007</v>
      </c>
      <c r="D19" s="150">
        <v>8.26</v>
      </c>
      <c r="E19" s="150">
        <v>8.64</v>
      </c>
      <c r="F19" s="150">
        <v>8.73</v>
      </c>
      <c r="G19" s="150">
        <v>8.8699999999999992</v>
      </c>
      <c r="H19" s="150">
        <v>8.9</v>
      </c>
      <c r="I19" s="150">
        <v>9.02</v>
      </c>
      <c r="J19" s="150">
        <v>9</v>
      </c>
      <c r="K19" s="150">
        <v>9</v>
      </c>
      <c r="L19" s="150">
        <v>9.1300000000000008</v>
      </c>
      <c r="M19" s="150">
        <v>9.4600000000000009</v>
      </c>
      <c r="N19" s="150">
        <v>9.85</v>
      </c>
      <c r="O19" s="150">
        <v>10.4</v>
      </c>
      <c r="P19" s="150">
        <v>10.89</v>
      </c>
      <c r="Q19" s="150">
        <v>11.3</v>
      </c>
      <c r="R19" s="150">
        <v>11.3</v>
      </c>
      <c r="S19" s="151">
        <v>12.45</v>
      </c>
      <c r="T19"/>
      <c r="U19"/>
      <c r="V19"/>
      <c r="W19"/>
    </row>
    <row r="20" spans="1:23" ht="15" x14ac:dyDescent="0.25">
      <c r="A20" s="143" t="s">
        <v>225</v>
      </c>
      <c r="B20" s="150">
        <v>7.76</v>
      </c>
      <c r="C20" s="150">
        <v>7.95</v>
      </c>
      <c r="D20" s="150">
        <v>8.23</v>
      </c>
      <c r="E20" s="150">
        <v>8.52</v>
      </c>
      <c r="F20" s="150">
        <v>8.7200000000000006</v>
      </c>
      <c r="G20" s="150">
        <v>8.8699999999999992</v>
      </c>
      <c r="H20" s="150">
        <v>8.99</v>
      </c>
      <c r="I20" s="150">
        <v>9.08</v>
      </c>
      <c r="J20" s="150">
        <v>9.16</v>
      </c>
      <c r="K20" s="150">
        <v>9.27</v>
      </c>
      <c r="L20" s="150">
        <v>9.5399999999999991</v>
      </c>
      <c r="M20" s="150">
        <v>9.92</v>
      </c>
      <c r="N20" s="150">
        <v>10.41</v>
      </c>
      <c r="O20" s="150">
        <v>10.85</v>
      </c>
      <c r="P20" s="150">
        <v>11.38</v>
      </c>
      <c r="Q20" s="150">
        <v>11.77</v>
      </c>
      <c r="R20" s="150">
        <v>12.63</v>
      </c>
      <c r="S20" s="151">
        <v>12.94</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321</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229</v>
      </c>
      <c r="B25" s="170">
        <f>(B18-B18)/B18</f>
        <v>0</v>
      </c>
      <c r="C25" s="170">
        <f>(C18-B18)/B18</f>
        <v>0.14099216710182769</v>
      </c>
      <c r="D25" s="170">
        <f>(D18-B18)/B18</f>
        <v>0.16057441253263713</v>
      </c>
      <c r="E25" s="170">
        <f>(E18-B18)/B18</f>
        <v>0.2010443864229764</v>
      </c>
      <c r="F25" s="170">
        <f>(F18-B18)/B18</f>
        <v>0.16318537859007834</v>
      </c>
      <c r="G25" s="170">
        <f>(G18-B18)/B18</f>
        <v>0.13968668407310708</v>
      </c>
      <c r="H25" s="170">
        <f>(H18-B18)/B18</f>
        <v>0.12271540469973884</v>
      </c>
      <c r="I25" s="170">
        <f>(I18-B18)/B18</f>
        <v>0.15926892950391652</v>
      </c>
      <c r="J25" s="170">
        <f>(J18-B18)/B18</f>
        <v>0.20626631853785901</v>
      </c>
      <c r="K25" s="170">
        <f>(K18-B18)/B18</f>
        <v>0.19843342036553518</v>
      </c>
      <c r="L25" s="170">
        <f>(L18-B18)/B18</f>
        <v>0.20887728459530022</v>
      </c>
      <c r="M25" s="170">
        <f>(M18-B18)/B18</f>
        <v>0.26501305483028714</v>
      </c>
      <c r="N25" s="170">
        <f>(N18-B18)/B18</f>
        <v>0.32245430809399483</v>
      </c>
      <c r="O25" s="170">
        <f>(O18-B18)/B18</f>
        <v>0.3550913838120105</v>
      </c>
      <c r="P25" s="170">
        <f>(P18-B18)/B18</f>
        <v>0.41253263707571802</v>
      </c>
      <c r="Q25" s="170">
        <f>(Q18-B18)/B18</f>
        <v>0.43603133159268925</v>
      </c>
      <c r="R25" s="170">
        <f>(R18-B18)/B18</f>
        <v>0.47389033942558734</v>
      </c>
      <c r="S25" s="170">
        <f>(S18-B18)/B18</f>
        <v>0.51566579634464738</v>
      </c>
      <c r="T25"/>
      <c r="U25"/>
      <c r="V25"/>
      <c r="W25"/>
    </row>
    <row r="26" spans="1:23" ht="15" x14ac:dyDescent="0.25">
      <c r="A26" s="143" t="s">
        <v>224</v>
      </c>
      <c r="B26" s="170">
        <f>(B19-B19)/B19</f>
        <v>0</v>
      </c>
      <c r="C26" s="170">
        <f>(C19-B19)/B19</f>
        <v>-3.7128712871286338E-3</v>
      </c>
      <c r="D26" s="170">
        <f>(D19-B19)/B19</f>
        <v>2.2277227722772242E-2</v>
      </c>
      <c r="E26" s="170">
        <f>(E19-B19)/B19</f>
        <v>6.9306930693069368E-2</v>
      </c>
      <c r="F26" s="170">
        <f>(F19-B19)/B19</f>
        <v>8.0445544554455489E-2</v>
      </c>
      <c r="G26" s="170">
        <f>(G19-B19)/B19</f>
        <v>9.7772277227722665E-2</v>
      </c>
      <c r="H26" s="170">
        <f>(H19-B19)/B19</f>
        <v>0.10148514851485152</v>
      </c>
      <c r="I26" s="170">
        <f>(I19-B19)/B19</f>
        <v>0.11633663366336627</v>
      </c>
      <c r="J26" s="170">
        <f>(J19-B19)/B19</f>
        <v>0.11386138613861385</v>
      </c>
      <c r="K26" s="170">
        <f>(K19-B19)/B19</f>
        <v>0.11386138613861385</v>
      </c>
      <c r="L26" s="170">
        <f>(L19-B19)/B19</f>
        <v>0.12995049504950504</v>
      </c>
      <c r="M26" s="170">
        <f>(M19-B19)/B19</f>
        <v>0.17079207920792089</v>
      </c>
      <c r="N26" s="170">
        <f>(N19-B19)/B19</f>
        <v>0.219059405940594</v>
      </c>
      <c r="O26" s="170">
        <f>(O19-B19)/B19</f>
        <v>0.28712871287128716</v>
      </c>
      <c r="P26" s="170">
        <f>(P19-B19)/B19</f>
        <v>0.3477722772277228</v>
      </c>
      <c r="Q26" s="170">
        <f>(Q19-B19)/B19</f>
        <v>0.39851485148514859</v>
      </c>
      <c r="R26" s="170">
        <f>(R19-B19)/B19</f>
        <v>0.39851485148514859</v>
      </c>
      <c r="S26" s="170">
        <f>(S19-B19)/B19</f>
        <v>0.54084158415841577</v>
      </c>
      <c r="T26"/>
      <c r="U26"/>
      <c r="V26"/>
      <c r="W26"/>
    </row>
    <row r="27" spans="1:23" ht="15" x14ac:dyDescent="0.25">
      <c r="A27" s="143" t="s">
        <v>225</v>
      </c>
      <c r="B27" s="170">
        <f>(B20-B20)/B20</f>
        <v>0</v>
      </c>
      <c r="C27" s="170">
        <f>(C20-B20)/B20</f>
        <v>2.4484536082474279E-2</v>
      </c>
      <c r="D27" s="170">
        <f>(D20-B20)/B20</f>
        <v>6.0567010309278434E-2</v>
      </c>
      <c r="E27" s="170">
        <f>(E20-B20)/B20</f>
        <v>9.7938144329896878E-2</v>
      </c>
      <c r="F27" s="170">
        <f>(F20-B20)/B20</f>
        <v>0.12371134020618568</v>
      </c>
      <c r="G27" s="170">
        <f>(G20-B20)/B20</f>
        <v>0.143041237113402</v>
      </c>
      <c r="H27" s="170">
        <f>(H20-B20)/B20</f>
        <v>0.15850515463917531</v>
      </c>
      <c r="I27" s="170">
        <f>(I20-B20)/B20</f>
        <v>0.17010309278350519</v>
      </c>
      <c r="J27" s="170">
        <f>(J20-B20)/B20</f>
        <v>0.18041237113402067</v>
      </c>
      <c r="K27" s="170">
        <f>(K20-B20)/B20</f>
        <v>0.19458762886597936</v>
      </c>
      <c r="L27" s="170">
        <f>(L20-B20)/B20</f>
        <v>0.22938144329896901</v>
      </c>
      <c r="M27" s="170">
        <f>(M20-B20)/B20</f>
        <v>0.27835051546391754</v>
      </c>
      <c r="N27" s="170">
        <f>(N20-B20)/B20</f>
        <v>0.34149484536082481</v>
      </c>
      <c r="O27" s="170">
        <f>(O20-B20)/B20</f>
        <v>0.39819587628865977</v>
      </c>
      <c r="P27" s="170">
        <f>(P20-B20)/B20</f>
        <v>0.46649484536082486</v>
      </c>
      <c r="Q27" s="170">
        <f>(Q20-B20)/B20</f>
        <v>0.51675257731958757</v>
      </c>
      <c r="R27" s="170">
        <f>(R20-B20)/B20</f>
        <v>0.62757731958762897</v>
      </c>
      <c r="S27" s="170">
        <f>(S20-B20)/B20</f>
        <v>0.66752577319587625</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B13" sqref="B13"/>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322</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4" spans="1:27" ht="15" x14ac:dyDescent="0.25">
      <c r="A4" s="320" t="s">
        <v>281</v>
      </c>
      <c r="B4" s="320"/>
      <c r="C4" s="320"/>
      <c r="D4" s="320"/>
    </row>
    <row r="5" spans="1:27" ht="15" x14ac:dyDescent="0.25">
      <c r="A5" s="321" t="s">
        <v>206</v>
      </c>
      <c r="B5" s="322"/>
      <c r="C5" s="321" t="s">
        <v>207</v>
      </c>
      <c r="D5" s="321"/>
    </row>
    <row r="6" spans="1:27" x14ac:dyDescent="0.2">
      <c r="A6" s="154" t="s">
        <v>208</v>
      </c>
      <c r="B6" s="155" t="s">
        <v>192</v>
      </c>
      <c r="C6" s="154" t="s">
        <v>208</v>
      </c>
      <c r="D6" s="156" t="s">
        <v>192</v>
      </c>
    </row>
    <row r="7" spans="1:27" x14ac:dyDescent="0.2">
      <c r="A7" s="1" t="s">
        <v>219</v>
      </c>
      <c r="B7" s="157">
        <v>0.128</v>
      </c>
      <c r="C7" s="1" t="s">
        <v>219</v>
      </c>
      <c r="D7" s="158">
        <f>3312/22282</f>
        <v>0.14864015797504712</v>
      </c>
    </row>
    <row r="8" spans="1:27" x14ac:dyDescent="0.2">
      <c r="A8" s="1" t="s">
        <v>212</v>
      </c>
      <c r="B8" s="157">
        <v>8.7999999999999995E-2</v>
      </c>
      <c r="C8" s="1" t="s">
        <v>212</v>
      </c>
      <c r="D8" s="158">
        <f>3004/22282</f>
        <v>0.13481734135176376</v>
      </c>
    </row>
    <row r="9" spans="1:27" x14ac:dyDescent="0.2">
      <c r="A9" s="1" t="s">
        <v>323</v>
      </c>
      <c r="B9" s="157">
        <v>8.6999999999999994E-2</v>
      </c>
      <c r="C9" s="1" t="s">
        <v>217</v>
      </c>
      <c r="D9" s="158">
        <f>2642/22282</f>
        <v>0.11857104389193071</v>
      </c>
    </row>
    <row r="10" spans="1:27" x14ac:dyDescent="0.2">
      <c r="A10" s="1" t="s">
        <v>324</v>
      </c>
      <c r="B10" s="157">
        <v>8.4000000000000005E-2</v>
      </c>
      <c r="C10" s="1" t="s">
        <v>324</v>
      </c>
      <c r="D10" s="158">
        <f>2501/22282</f>
        <v>0.11224306615205099</v>
      </c>
    </row>
    <row r="11" spans="1:27" x14ac:dyDescent="0.2">
      <c r="A11" s="1" t="s">
        <v>325</v>
      </c>
      <c r="B11" s="157">
        <v>0.08</v>
      </c>
      <c r="C11" s="1" t="s">
        <v>323</v>
      </c>
      <c r="D11" s="158">
        <f>2156/22282</f>
        <v>9.6759716362983569E-2</v>
      </c>
    </row>
    <row r="12" spans="1:27" x14ac:dyDescent="0.2">
      <c r="A12" s="1" t="s">
        <v>217</v>
      </c>
      <c r="B12" s="157">
        <v>7.8E-2</v>
      </c>
      <c r="C12" s="1" t="s">
        <v>218</v>
      </c>
      <c r="D12" s="158">
        <f>2140/22282</f>
        <v>9.604164796696886E-2</v>
      </c>
    </row>
    <row r="13" spans="1:27" x14ac:dyDescent="0.2">
      <c r="A13" s="1" t="s">
        <v>326</v>
      </c>
      <c r="B13" s="157">
        <v>6.7000000000000004E-2</v>
      </c>
      <c r="C13" s="1" t="s">
        <v>209</v>
      </c>
      <c r="D13" s="158">
        <f>1702/22282</f>
        <v>7.6384525626065888E-2</v>
      </c>
    </row>
    <row r="14" spans="1:27" x14ac:dyDescent="0.2">
      <c r="A14" s="1" t="s">
        <v>209</v>
      </c>
      <c r="B14" s="157">
        <v>6.5000000000000002E-2</v>
      </c>
      <c r="C14" s="1" t="s">
        <v>327</v>
      </c>
      <c r="D14" s="158">
        <f>1606/22282</f>
        <v>7.2076115249977563E-2</v>
      </c>
    </row>
    <row r="15" spans="1:27" x14ac:dyDescent="0.2">
      <c r="A15" s="1" t="s">
        <v>218</v>
      </c>
      <c r="B15" s="157">
        <v>6.2E-2</v>
      </c>
      <c r="C15" s="1" t="s">
        <v>325</v>
      </c>
      <c r="D15" s="158">
        <f>1577/22282</f>
        <v>7.0774616282200886E-2</v>
      </c>
    </row>
    <row r="16" spans="1:27" x14ac:dyDescent="0.2">
      <c r="A16" s="1" t="s">
        <v>328</v>
      </c>
      <c r="B16" s="157">
        <v>5.7000000000000002E-2</v>
      </c>
      <c r="C16" s="1" t="s">
        <v>213</v>
      </c>
      <c r="D16" s="158">
        <f>1541/22282</f>
        <v>6.9158962391167755E-2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P6" sqref="P6"/>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329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3" spans="1:27" ht="15" x14ac:dyDescent="0.25">
      <c r="A3" s="193" t="s">
        <v>330</v>
      </c>
      <c r="B3" s="193"/>
      <c r="C3" s="193"/>
      <c r="D3" s="193"/>
      <c r="F3" s="320" t="s">
        <v>331</v>
      </c>
      <c r="G3" s="320"/>
      <c r="H3" s="320"/>
    </row>
    <row r="4" spans="1:27" ht="28.5" x14ac:dyDescent="0.2">
      <c r="A4" s="191" t="s">
        <v>233</v>
      </c>
      <c r="B4" s="191" t="s">
        <v>234</v>
      </c>
      <c r="C4" s="192" t="s">
        <v>235</v>
      </c>
      <c r="D4" s="1"/>
      <c r="F4" s="191" t="s">
        <v>236</v>
      </c>
      <c r="G4" s="192" t="s">
        <v>237</v>
      </c>
      <c r="H4" s="37" t="s">
        <v>238</v>
      </c>
      <c r="O4" s="1"/>
    </row>
    <row r="5" spans="1:27" x14ac:dyDescent="0.2">
      <c r="A5" s="160">
        <v>43313</v>
      </c>
      <c r="B5" s="159">
        <v>35</v>
      </c>
      <c r="C5" s="218" t="s">
        <v>239</v>
      </c>
      <c r="D5" s="1"/>
      <c r="F5" s="1" t="s">
        <v>240</v>
      </c>
      <c r="G5" s="159">
        <v>7</v>
      </c>
      <c r="H5" s="203" t="s">
        <v>332</v>
      </c>
      <c r="O5" s="1"/>
    </row>
    <row r="6" spans="1:27" x14ac:dyDescent="0.2">
      <c r="A6" s="160">
        <v>43344</v>
      </c>
      <c r="B6" s="159">
        <v>31</v>
      </c>
      <c r="C6" s="218" t="s">
        <v>239</v>
      </c>
      <c r="D6" s="1"/>
      <c r="F6" s="1" t="s">
        <v>333</v>
      </c>
      <c r="G6" s="159">
        <v>6</v>
      </c>
      <c r="H6" s="203" t="s">
        <v>334</v>
      </c>
      <c r="O6" s="1"/>
    </row>
    <row r="7" spans="1:27" x14ac:dyDescent="0.2">
      <c r="A7" s="160">
        <v>43374</v>
      </c>
      <c r="B7" s="159">
        <v>14</v>
      </c>
      <c r="C7" s="218" t="s">
        <v>239</v>
      </c>
      <c r="D7" s="1"/>
      <c r="F7" s="1" t="s">
        <v>252</v>
      </c>
      <c r="G7" s="159">
        <v>3</v>
      </c>
      <c r="H7" s="203" t="s">
        <v>335</v>
      </c>
      <c r="O7" s="1"/>
    </row>
    <row r="8" spans="1:27" x14ac:dyDescent="0.2">
      <c r="A8" s="160">
        <v>43405</v>
      </c>
      <c r="B8" s="159">
        <v>11</v>
      </c>
      <c r="C8" s="218" t="s">
        <v>239</v>
      </c>
      <c r="D8" s="1"/>
      <c r="F8" s="1" t="s">
        <v>336</v>
      </c>
      <c r="G8" s="159">
        <v>3</v>
      </c>
      <c r="H8" s="203" t="s">
        <v>337</v>
      </c>
      <c r="O8" s="1"/>
    </row>
    <row r="9" spans="1:27" x14ac:dyDescent="0.2">
      <c r="A9" s="160">
        <v>43435</v>
      </c>
      <c r="B9" s="159">
        <v>10</v>
      </c>
      <c r="C9" s="218" t="s">
        <v>239</v>
      </c>
      <c r="D9" s="1"/>
      <c r="F9" s="1" t="s">
        <v>255</v>
      </c>
      <c r="G9" s="159">
        <v>3</v>
      </c>
      <c r="H9" s="203" t="s">
        <v>338</v>
      </c>
      <c r="O9" s="1"/>
    </row>
    <row r="10" spans="1:27" x14ac:dyDescent="0.2">
      <c r="A10" s="160">
        <v>43466</v>
      </c>
      <c r="B10" s="159">
        <v>11</v>
      </c>
      <c r="C10" s="218" t="s">
        <v>239</v>
      </c>
      <c r="D10" s="1"/>
      <c r="F10" s="1" t="s">
        <v>339</v>
      </c>
      <c r="G10" s="159">
        <v>2</v>
      </c>
      <c r="H10" s="203" t="s">
        <v>340</v>
      </c>
      <c r="O10" s="1"/>
    </row>
    <row r="11" spans="1:27" x14ac:dyDescent="0.2">
      <c r="A11" s="160">
        <v>43497</v>
      </c>
      <c r="B11" s="159">
        <v>10</v>
      </c>
      <c r="C11" s="218" t="s">
        <v>239</v>
      </c>
      <c r="D11" s="1"/>
      <c r="F11" s="1" t="s">
        <v>341</v>
      </c>
      <c r="G11" s="159">
        <v>2</v>
      </c>
      <c r="H11" s="203" t="s">
        <v>251</v>
      </c>
      <c r="O11" s="1"/>
    </row>
    <row r="12" spans="1:27" x14ac:dyDescent="0.2">
      <c r="A12" s="160">
        <v>43525</v>
      </c>
      <c r="B12" s="159">
        <v>7</v>
      </c>
      <c r="C12" s="218" t="s">
        <v>239</v>
      </c>
      <c r="D12" s="1"/>
      <c r="F12" s="1" t="s">
        <v>242</v>
      </c>
      <c r="G12" s="159">
        <v>2</v>
      </c>
      <c r="H12" s="203" t="s">
        <v>243</v>
      </c>
      <c r="O12" s="1"/>
    </row>
    <row r="13" spans="1:27" x14ac:dyDescent="0.2">
      <c r="A13" s="160">
        <v>43556</v>
      </c>
      <c r="B13" s="159">
        <v>5</v>
      </c>
      <c r="C13" s="218" t="s">
        <v>239</v>
      </c>
      <c r="D13" s="1"/>
      <c r="F13" s="1" t="s">
        <v>342</v>
      </c>
      <c r="G13" s="159">
        <v>2</v>
      </c>
      <c r="H13" s="203" t="s">
        <v>245</v>
      </c>
      <c r="O13" s="1"/>
    </row>
    <row r="14" spans="1:27" x14ac:dyDescent="0.2">
      <c r="A14" s="160">
        <v>43586</v>
      </c>
      <c r="B14" s="159">
        <v>5</v>
      </c>
      <c r="C14" s="218" t="s">
        <v>239</v>
      </c>
      <c r="D14" s="1"/>
      <c r="F14" s="1" t="s">
        <v>343</v>
      </c>
      <c r="G14" s="159">
        <v>2</v>
      </c>
      <c r="H14" s="203" t="s">
        <v>251</v>
      </c>
      <c r="O14" s="1"/>
    </row>
    <row r="15" spans="1:27" x14ac:dyDescent="0.2">
      <c r="A15" s="160">
        <v>43617</v>
      </c>
      <c r="B15" s="159">
        <v>7</v>
      </c>
      <c r="C15" s="218" t="s">
        <v>239</v>
      </c>
      <c r="D15" s="1"/>
      <c r="O15" s="1"/>
    </row>
    <row r="16" spans="1:27" x14ac:dyDescent="0.2">
      <c r="A16" s="160">
        <v>43647</v>
      </c>
      <c r="B16" s="159">
        <v>11</v>
      </c>
      <c r="C16" s="218" t="s">
        <v>239</v>
      </c>
      <c r="D16" s="1"/>
      <c r="O16" s="1"/>
    </row>
    <row r="17" spans="1:15" x14ac:dyDescent="0.2">
      <c r="A17" s="160">
        <v>43678</v>
      </c>
      <c r="B17" s="159">
        <v>10</v>
      </c>
      <c r="C17" s="218" t="s">
        <v>239</v>
      </c>
      <c r="D17" s="1"/>
      <c r="O17" s="1"/>
    </row>
    <row r="18" spans="1:15" x14ac:dyDescent="0.2">
      <c r="A18" s="160">
        <v>43709</v>
      </c>
      <c r="B18" s="159">
        <v>7</v>
      </c>
      <c r="C18" s="218" t="s">
        <v>239</v>
      </c>
      <c r="D18" s="1"/>
      <c r="I18" s="39"/>
      <c r="O18" s="1"/>
    </row>
    <row r="19" spans="1:15" x14ac:dyDescent="0.2">
      <c r="A19" s="160">
        <v>43739</v>
      </c>
      <c r="B19" s="159">
        <v>5</v>
      </c>
      <c r="C19" s="218" t="s">
        <v>239</v>
      </c>
      <c r="D19" s="1"/>
      <c r="I19" s="39"/>
      <c r="O19" s="1"/>
    </row>
    <row r="20" spans="1:15" x14ac:dyDescent="0.2">
      <c r="A20" s="160">
        <v>43770</v>
      </c>
      <c r="B20" s="159">
        <v>4</v>
      </c>
      <c r="C20" s="218" t="s">
        <v>239</v>
      </c>
      <c r="D20" s="1"/>
      <c r="I20" s="39"/>
      <c r="O20" s="1"/>
    </row>
    <row r="21" spans="1:15" x14ac:dyDescent="0.2">
      <c r="A21" s="160">
        <v>43800</v>
      </c>
      <c r="B21" s="159">
        <v>7</v>
      </c>
      <c r="C21" s="218" t="s">
        <v>239</v>
      </c>
      <c r="D21" s="1"/>
      <c r="I21" s="39"/>
      <c r="O21" s="1"/>
    </row>
    <row r="22" spans="1:15" x14ac:dyDescent="0.2">
      <c r="A22" s="160">
        <v>43831</v>
      </c>
      <c r="B22" s="159">
        <v>8</v>
      </c>
      <c r="C22" s="218" t="s">
        <v>239</v>
      </c>
      <c r="D22" s="1"/>
      <c r="I22" s="39"/>
      <c r="O22" s="1"/>
    </row>
    <row r="23" spans="1:15" x14ac:dyDescent="0.2">
      <c r="A23" s="160">
        <v>43862</v>
      </c>
      <c r="B23" s="159">
        <v>11</v>
      </c>
      <c r="C23" s="218" t="s">
        <v>239</v>
      </c>
      <c r="D23" s="1"/>
      <c r="O23" s="1"/>
    </row>
    <row r="24" spans="1:15" x14ac:dyDescent="0.2">
      <c r="A24" s="160">
        <v>43891</v>
      </c>
      <c r="B24" s="159">
        <v>8</v>
      </c>
      <c r="C24" s="218" t="s">
        <v>239</v>
      </c>
      <c r="D24" s="1"/>
      <c r="O24" s="1"/>
    </row>
    <row r="25" spans="1:15" x14ac:dyDescent="0.2">
      <c r="A25" s="160">
        <v>43922</v>
      </c>
      <c r="B25" s="159">
        <v>7</v>
      </c>
      <c r="C25" s="218" t="s">
        <v>239</v>
      </c>
      <c r="D25" s="1"/>
      <c r="O25" s="1"/>
    </row>
    <row r="26" spans="1:15" x14ac:dyDescent="0.2">
      <c r="A26" s="160">
        <v>43952</v>
      </c>
      <c r="B26" s="159">
        <v>11</v>
      </c>
      <c r="C26" s="218" t="s">
        <v>239</v>
      </c>
      <c r="D26" s="1"/>
      <c r="O26" s="1"/>
    </row>
    <row r="27" spans="1:15" x14ac:dyDescent="0.2">
      <c r="A27" s="160">
        <v>43983</v>
      </c>
      <c r="B27" s="159">
        <v>9</v>
      </c>
      <c r="C27" s="218" t="s">
        <v>239</v>
      </c>
      <c r="D27" s="1"/>
      <c r="O27" s="1"/>
    </row>
    <row r="28" spans="1:15" x14ac:dyDescent="0.2">
      <c r="A28" s="160">
        <v>44013</v>
      </c>
      <c r="B28" s="159">
        <v>16</v>
      </c>
      <c r="C28" s="218" t="s">
        <v>239</v>
      </c>
      <c r="D28" s="1"/>
      <c r="O28" s="1"/>
    </row>
    <row r="29" spans="1:15" x14ac:dyDescent="0.2">
      <c r="A29" s="160">
        <v>44044</v>
      </c>
      <c r="B29" s="159">
        <v>19</v>
      </c>
      <c r="C29" s="218" t="s">
        <v>239</v>
      </c>
      <c r="D29" s="1"/>
      <c r="O29" s="1"/>
    </row>
    <row r="30" spans="1:15" x14ac:dyDescent="0.2">
      <c r="A30" s="160">
        <v>44075</v>
      </c>
      <c r="B30" s="159">
        <v>22</v>
      </c>
      <c r="C30" s="218" t="s">
        <v>239</v>
      </c>
      <c r="D30" s="1"/>
      <c r="O30" s="1"/>
    </row>
    <row r="31" spans="1:15" x14ac:dyDescent="0.2">
      <c r="A31" s="160">
        <v>44105</v>
      </c>
      <c r="B31" s="159">
        <v>13</v>
      </c>
      <c r="C31" s="218" t="s">
        <v>239</v>
      </c>
      <c r="D31" s="1"/>
      <c r="O31" s="1"/>
    </row>
    <row r="32" spans="1:15" x14ac:dyDescent="0.2">
      <c r="A32" s="160">
        <v>44136</v>
      </c>
      <c r="B32" s="159">
        <v>12</v>
      </c>
      <c r="C32" s="218" t="s">
        <v>239</v>
      </c>
      <c r="D32" s="1"/>
      <c r="O32" s="1"/>
    </row>
    <row r="33" spans="1:15" x14ac:dyDescent="0.2">
      <c r="A33" s="160">
        <v>44166</v>
      </c>
      <c r="B33" s="159">
        <v>9</v>
      </c>
      <c r="C33" s="218" t="s">
        <v>239</v>
      </c>
      <c r="D33" s="1"/>
      <c r="O33" s="1"/>
    </row>
    <row r="34" spans="1:15" x14ac:dyDescent="0.2">
      <c r="A34" s="160">
        <v>44197</v>
      </c>
      <c r="B34" s="159">
        <v>10</v>
      </c>
      <c r="C34" s="218" t="s">
        <v>239</v>
      </c>
      <c r="D34" s="1"/>
      <c r="O34" s="1"/>
    </row>
    <row r="35" spans="1:15" x14ac:dyDescent="0.2">
      <c r="A35" s="160">
        <v>44228</v>
      </c>
      <c r="B35" s="159">
        <v>13</v>
      </c>
      <c r="C35" s="218" t="s">
        <v>239</v>
      </c>
      <c r="D35" s="1"/>
      <c r="O35" s="1"/>
    </row>
    <row r="36" spans="1:15" x14ac:dyDescent="0.2">
      <c r="A36" s="160">
        <v>44256</v>
      </c>
      <c r="B36" s="159">
        <v>15</v>
      </c>
      <c r="C36" s="218" t="s">
        <v>239</v>
      </c>
      <c r="D36" s="1"/>
      <c r="O36" s="1"/>
    </row>
    <row r="37" spans="1:15" x14ac:dyDescent="0.2">
      <c r="A37" s="160">
        <v>44287</v>
      </c>
      <c r="B37" s="159">
        <v>18</v>
      </c>
      <c r="C37" s="218" t="s">
        <v>239</v>
      </c>
      <c r="D37" s="1"/>
      <c r="O37" s="1"/>
    </row>
    <row r="38" spans="1:15" x14ac:dyDescent="0.2">
      <c r="A38" s="160">
        <v>44317</v>
      </c>
      <c r="B38" s="159">
        <v>16</v>
      </c>
      <c r="C38" s="218" t="s">
        <v>239</v>
      </c>
      <c r="D38" s="1"/>
      <c r="O38" s="1"/>
    </row>
    <row r="39" spans="1:15" x14ac:dyDescent="0.2">
      <c r="A39" s="160">
        <v>44348</v>
      </c>
      <c r="B39" s="159">
        <v>15</v>
      </c>
      <c r="C39" s="218" t="s">
        <v>239</v>
      </c>
      <c r="D39" s="1"/>
      <c r="O39" s="1"/>
    </row>
    <row r="40" spans="1:15" x14ac:dyDescent="0.2">
      <c r="A40" s="160">
        <v>44378</v>
      </c>
      <c r="B40" s="159">
        <v>10</v>
      </c>
      <c r="C40" s="218" t="s">
        <v>239</v>
      </c>
      <c r="D40" s="1"/>
      <c r="O40" s="1"/>
    </row>
    <row r="41" spans="1:15" x14ac:dyDescent="0.2">
      <c r="A41" s="160">
        <v>44409</v>
      </c>
      <c r="B41" s="159">
        <v>10</v>
      </c>
      <c r="C41" s="218" t="s">
        <v>239</v>
      </c>
      <c r="D41" s="1"/>
      <c r="O41" s="1"/>
    </row>
    <row r="42" spans="1:15" x14ac:dyDescent="0.2">
      <c r="A42" s="160">
        <v>44440</v>
      </c>
      <c r="B42" s="159">
        <v>11</v>
      </c>
      <c r="C42" s="218" t="s">
        <v>239</v>
      </c>
      <c r="D42" s="1"/>
      <c r="O42" s="1"/>
    </row>
    <row r="43" spans="1:15" x14ac:dyDescent="0.2">
      <c r="A43" s="160">
        <v>44470</v>
      </c>
      <c r="B43" s="159">
        <v>8</v>
      </c>
      <c r="C43" s="218" t="s">
        <v>239</v>
      </c>
      <c r="D43" s="1"/>
      <c r="O43" s="1"/>
    </row>
    <row r="44" spans="1:15" x14ac:dyDescent="0.2">
      <c r="A44" s="160">
        <v>44501</v>
      </c>
      <c r="B44" s="159">
        <v>8</v>
      </c>
      <c r="C44" s="218" t="s">
        <v>239</v>
      </c>
      <c r="D44" s="1"/>
      <c r="O44" s="1"/>
    </row>
    <row r="45" spans="1:15" x14ac:dyDescent="0.2">
      <c r="A45" s="160">
        <v>44531</v>
      </c>
      <c r="B45" s="159">
        <v>8</v>
      </c>
      <c r="C45" s="218" t="s">
        <v>239</v>
      </c>
      <c r="D45" s="1"/>
      <c r="O45" s="1"/>
    </row>
    <row r="46" spans="1:15" x14ac:dyDescent="0.2">
      <c r="A46" s="160">
        <v>44562</v>
      </c>
      <c r="B46" s="159">
        <v>6</v>
      </c>
      <c r="C46" s="218" t="s">
        <v>239</v>
      </c>
      <c r="D46" s="1"/>
      <c r="O46" s="1"/>
    </row>
    <row r="47" spans="1:15" x14ac:dyDescent="0.2">
      <c r="A47" s="160">
        <v>44593</v>
      </c>
      <c r="B47" s="159">
        <v>8</v>
      </c>
      <c r="C47" s="218" t="s">
        <v>239</v>
      </c>
      <c r="D47" s="1"/>
      <c r="O47" s="1"/>
    </row>
    <row r="48" spans="1:15" x14ac:dyDescent="0.2">
      <c r="A48" s="160">
        <v>44621</v>
      </c>
      <c r="B48" s="159">
        <v>7</v>
      </c>
      <c r="C48" s="218" t="s">
        <v>239</v>
      </c>
      <c r="D48" s="1"/>
      <c r="O48" s="1"/>
    </row>
    <row r="49" spans="1:15" x14ac:dyDescent="0.2">
      <c r="A49" s="160">
        <v>44652</v>
      </c>
      <c r="B49" s="159">
        <v>9</v>
      </c>
      <c r="C49" s="218" t="s">
        <v>239</v>
      </c>
      <c r="D49" s="1"/>
      <c r="O49" s="1"/>
    </row>
    <row r="50" spans="1:15" x14ac:dyDescent="0.2">
      <c r="A50" s="160">
        <v>44682</v>
      </c>
      <c r="B50" s="159">
        <v>9</v>
      </c>
      <c r="C50" s="218" t="s">
        <v>239</v>
      </c>
      <c r="D50" s="1"/>
      <c r="O50" s="1"/>
    </row>
    <row r="51" spans="1:15" x14ac:dyDescent="0.2">
      <c r="A51" s="160">
        <v>44713</v>
      </c>
      <c r="B51" s="159">
        <v>8</v>
      </c>
      <c r="C51" s="218" t="s">
        <v>239</v>
      </c>
      <c r="D51" s="1"/>
      <c r="O51" s="1"/>
    </row>
    <row r="52" spans="1:15" x14ac:dyDescent="0.2">
      <c r="A52" s="160">
        <v>44743</v>
      </c>
      <c r="B52" s="159">
        <v>8</v>
      </c>
      <c r="C52" s="218" t="s">
        <v>239</v>
      </c>
      <c r="D52" s="1"/>
      <c r="O52" s="1"/>
    </row>
    <row r="53" spans="1:15" x14ac:dyDescent="0.2">
      <c r="A53" s="160">
        <v>44774</v>
      </c>
      <c r="B53" s="159">
        <v>7</v>
      </c>
      <c r="C53" s="218" t="s">
        <v>239</v>
      </c>
      <c r="D53" s="1"/>
      <c r="O53" s="1"/>
    </row>
    <row r="54" spans="1:15" x14ac:dyDescent="0.2">
      <c r="A54" s="160">
        <v>44805</v>
      </c>
      <c r="B54" s="159">
        <v>7</v>
      </c>
      <c r="C54" s="218" t="s">
        <v>239</v>
      </c>
      <c r="D54" s="1"/>
      <c r="O54" s="1"/>
    </row>
    <row r="55" spans="1:15" x14ac:dyDescent="0.2">
      <c r="A55" s="160">
        <v>44835</v>
      </c>
      <c r="B55" s="159">
        <v>3</v>
      </c>
      <c r="C55" s="218" t="s">
        <v>239</v>
      </c>
      <c r="D55" s="1"/>
      <c r="O55" s="1"/>
    </row>
    <row r="56" spans="1:15" x14ac:dyDescent="0.2">
      <c r="A56" s="160">
        <v>44866</v>
      </c>
      <c r="B56" s="159">
        <v>5</v>
      </c>
      <c r="C56" s="218" t="s">
        <v>239</v>
      </c>
      <c r="D56" s="161"/>
      <c r="O56" s="1"/>
    </row>
    <row r="57" spans="1:15" x14ac:dyDescent="0.2">
      <c r="A57" s="160">
        <v>44896</v>
      </c>
      <c r="B57" s="159">
        <v>10</v>
      </c>
      <c r="C57" s="218" t="s">
        <v>239</v>
      </c>
      <c r="D57" s="1"/>
      <c r="O57" s="1"/>
    </row>
    <row r="58" spans="1:15" x14ac:dyDescent="0.2">
      <c r="A58" s="160">
        <v>44927</v>
      </c>
      <c r="B58" s="159">
        <v>9</v>
      </c>
      <c r="C58" s="218" t="s">
        <v>239</v>
      </c>
      <c r="D58" s="1"/>
      <c r="O58" s="1"/>
    </row>
    <row r="59" spans="1:15" x14ac:dyDescent="0.2">
      <c r="A59" s="160">
        <v>44958</v>
      </c>
      <c r="B59" s="159">
        <v>11</v>
      </c>
      <c r="C59" s="218" t="s">
        <v>239</v>
      </c>
      <c r="D59" s="1"/>
      <c r="O59" s="1"/>
    </row>
    <row r="60" spans="1:15" x14ac:dyDescent="0.2">
      <c r="A60" s="160">
        <v>44986</v>
      </c>
      <c r="B60" s="159">
        <v>10</v>
      </c>
      <c r="C60" s="218" t="s">
        <v>239</v>
      </c>
      <c r="D60" s="1"/>
      <c r="O60" s="1"/>
    </row>
    <row r="61" spans="1:15" x14ac:dyDescent="0.2">
      <c r="A61" s="160">
        <v>45017</v>
      </c>
      <c r="B61" s="159">
        <v>6</v>
      </c>
      <c r="C61" s="218" t="s">
        <v>239</v>
      </c>
      <c r="D61" s="1"/>
      <c r="O61" s="1"/>
    </row>
    <row r="62" spans="1:15" x14ac:dyDescent="0.2">
      <c r="A62" s="160">
        <v>45047</v>
      </c>
      <c r="B62" s="159">
        <v>5</v>
      </c>
      <c r="C62" s="218" t="s">
        <v>239</v>
      </c>
      <c r="D62" s="1"/>
      <c r="O62" s="1"/>
    </row>
    <row r="63" spans="1:15" x14ac:dyDescent="0.2">
      <c r="A63" s="160">
        <v>45078</v>
      </c>
      <c r="B63" s="159">
        <v>5</v>
      </c>
      <c r="C63" s="218" t="s">
        <v>239</v>
      </c>
      <c r="D63" s="1"/>
      <c r="O63" s="1"/>
    </row>
    <row r="64" spans="1:15" x14ac:dyDescent="0.2">
      <c r="A64" s="160">
        <v>45108</v>
      </c>
      <c r="B64" s="159">
        <v>3</v>
      </c>
      <c r="C64" s="218" t="s">
        <v>239</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topLeftCell="C1" zoomScaleNormal="100" workbookViewId="0">
      <selection activeCell="D19" sqref="D19"/>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9" t="s">
        <v>344</v>
      </c>
      <c r="B1" s="239"/>
      <c r="C1" s="239"/>
      <c r="D1" s="239"/>
      <c r="E1" s="239"/>
      <c r="F1" s="239"/>
      <c r="G1" s="239"/>
      <c r="H1" s="239"/>
      <c r="I1" s="239"/>
      <c r="J1" s="239"/>
      <c r="K1" s="239"/>
      <c r="L1" s="239"/>
      <c r="M1" s="239"/>
      <c r="N1" s="239"/>
      <c r="O1" s="239"/>
      <c r="P1" s="239"/>
      <c r="Q1" s="239"/>
      <c r="R1" s="239"/>
      <c r="S1" s="239"/>
      <c r="T1" s="239"/>
      <c r="U1" s="239"/>
      <c r="V1" s="239"/>
      <c r="W1" s="239"/>
      <c r="X1" s="239"/>
      <c r="Y1" s="239"/>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zoomScaleNormal="100" workbookViewId="0">
      <selection activeCell="J34" sqref="J34"/>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9" t="s">
        <v>345</v>
      </c>
      <c r="B1" s="239"/>
      <c r="C1" s="239"/>
      <c r="D1" s="239"/>
      <c r="E1" s="239"/>
      <c r="F1" s="239"/>
      <c r="G1" s="239"/>
      <c r="H1" s="239"/>
      <c r="I1" s="239"/>
      <c r="J1" s="239"/>
      <c r="K1" s="239"/>
      <c r="L1" s="239"/>
      <c r="M1" s="239"/>
      <c r="N1" s="239"/>
      <c r="O1" s="239"/>
      <c r="P1" s="239"/>
      <c r="Q1" s="239"/>
      <c r="R1" s="239"/>
    </row>
    <row r="2" spans="1:27" ht="15" thickBot="1" x14ac:dyDescent="0.25">
      <c r="B2" s="38"/>
      <c r="C2" s="38"/>
      <c r="P2" s="1"/>
      <c r="Q2" s="40"/>
    </row>
    <row r="3" spans="1:27" ht="12.75" customHeight="1" thickBot="1" x14ac:dyDescent="0.25">
      <c r="A3" s="323" t="s">
        <v>28</v>
      </c>
      <c r="B3" s="326" t="s">
        <v>29</v>
      </c>
      <c r="C3" s="260"/>
      <c r="D3" s="298" t="s">
        <v>30</v>
      </c>
      <c r="E3" s="299"/>
      <c r="F3" s="212" t="s">
        <v>32</v>
      </c>
      <c r="G3" s="211" t="s">
        <v>32</v>
      </c>
      <c r="H3" s="211" t="s">
        <v>32</v>
      </c>
      <c r="I3" s="276" t="s">
        <v>32</v>
      </c>
      <c r="J3" s="276"/>
      <c r="K3" s="211" t="s">
        <v>33</v>
      </c>
      <c r="L3" s="211"/>
      <c r="M3" s="211" t="s">
        <v>34</v>
      </c>
      <c r="N3" s="211" t="s">
        <v>34</v>
      </c>
      <c r="O3" s="213" t="s">
        <v>34</v>
      </c>
      <c r="P3" s="1"/>
      <c r="Q3" s="40"/>
      <c r="V3" s="307" t="s">
        <v>301</v>
      </c>
      <c r="W3" s="307"/>
      <c r="X3" s="307"/>
      <c r="Y3" s="307"/>
      <c r="Z3" s="307"/>
      <c r="AA3" s="307"/>
    </row>
    <row r="4" spans="1:27" ht="14.45" customHeight="1" thickBot="1" x14ac:dyDescent="0.3">
      <c r="A4" s="324"/>
      <c r="B4" s="261" t="s">
        <v>36</v>
      </c>
      <c r="C4" s="327" t="s">
        <v>37</v>
      </c>
      <c r="D4" s="310" t="s">
        <v>36</v>
      </c>
      <c r="E4" s="312" t="s">
        <v>37</v>
      </c>
      <c r="F4" s="287" t="s">
        <v>38</v>
      </c>
      <c r="G4" s="285" t="s">
        <v>39</v>
      </c>
      <c r="H4" s="285" t="s">
        <v>40</v>
      </c>
      <c r="I4" s="277" t="s">
        <v>127</v>
      </c>
      <c r="J4" s="278"/>
      <c r="K4" s="277" t="s">
        <v>42</v>
      </c>
      <c r="L4" s="278"/>
      <c r="M4" s="289" t="s">
        <v>43</v>
      </c>
      <c r="N4" s="289" t="s">
        <v>44</v>
      </c>
      <c r="O4" s="329" t="s">
        <v>45</v>
      </c>
      <c r="P4" s="1"/>
      <c r="Q4" s="40"/>
      <c r="U4" s="1" t="s">
        <v>128</v>
      </c>
      <c r="V4" s="44" t="s">
        <v>129</v>
      </c>
      <c r="W4" s="44" t="s">
        <v>47</v>
      </c>
      <c r="X4" s="44" t="s">
        <v>49</v>
      </c>
      <c r="Y4" s="44" t="s">
        <v>130</v>
      </c>
      <c r="Z4" s="44" t="s">
        <v>131</v>
      </c>
      <c r="AA4" s="44" t="s">
        <v>132</v>
      </c>
    </row>
    <row r="5" spans="1:27" ht="26.25" customHeight="1" thickBot="1" x14ac:dyDescent="0.25">
      <c r="A5" s="325"/>
      <c r="B5" s="306"/>
      <c r="C5" s="328"/>
      <c r="D5" s="311"/>
      <c r="E5" s="313"/>
      <c r="F5" s="288"/>
      <c r="G5" s="286"/>
      <c r="H5" s="286"/>
      <c r="I5" s="45" t="s">
        <v>47</v>
      </c>
      <c r="J5" s="45" t="s">
        <v>48</v>
      </c>
      <c r="K5" s="208" t="s">
        <v>49</v>
      </c>
      <c r="L5" s="208" t="s">
        <v>50</v>
      </c>
      <c r="M5" s="290"/>
      <c r="N5" s="290"/>
      <c r="O5" s="330"/>
      <c r="P5" s="1"/>
      <c r="Q5" s="40"/>
      <c r="U5" s="1">
        <v>0</v>
      </c>
      <c r="V5" s="46">
        <f>H6</f>
        <v>17.163785198521207</v>
      </c>
      <c r="W5" s="46">
        <f>I6</f>
        <v>20.138839285714287</v>
      </c>
      <c r="X5" s="46">
        <f>K6</f>
        <v>22.152723214285718</v>
      </c>
      <c r="Y5" s="46">
        <f>M6</f>
        <v>24.367995535714293</v>
      </c>
      <c r="Z5" s="46" t="str">
        <f>N6</f>
        <v>-</v>
      </c>
      <c r="AA5" s="46" t="str">
        <f>O6</f>
        <v>-</v>
      </c>
    </row>
    <row r="6" spans="1:27" x14ac:dyDescent="0.2">
      <c r="A6" s="111" t="s">
        <v>56</v>
      </c>
      <c r="B6" s="112">
        <f>'1A'!B14</f>
        <v>15.79</v>
      </c>
      <c r="C6" s="113">
        <f>'1A'!C14</f>
        <v>32843.199999999997</v>
      </c>
      <c r="D6" s="59">
        <f>'1A'!D14</f>
        <v>20.138839285714287</v>
      </c>
      <c r="E6" s="114">
        <f>'1A'!E14</f>
        <v>41888.785714285717</v>
      </c>
      <c r="F6" s="59">
        <f>'1A'!F14</f>
        <v>17.163785198521207</v>
      </c>
      <c r="G6" s="59">
        <f>'1A'!G14</f>
        <v>17.163785198521207</v>
      </c>
      <c r="H6" s="59">
        <f>'1A'!H14</f>
        <v>17.163785198521207</v>
      </c>
      <c r="I6" s="60">
        <f>'1A'!I14</f>
        <v>20.138839285714287</v>
      </c>
      <c r="J6" s="116">
        <f>'1A'!J14</f>
        <v>21.145781250000002</v>
      </c>
      <c r="K6" s="60">
        <f>'1A'!K14</f>
        <v>22.152723214285718</v>
      </c>
      <c r="L6" s="60">
        <f>'1A'!L14</f>
        <v>23.260359375000004</v>
      </c>
      <c r="M6" s="60">
        <f>'1A'!M14</f>
        <v>24.367995535714293</v>
      </c>
      <c r="N6" s="60" t="s">
        <v>57</v>
      </c>
      <c r="O6" s="162" t="s">
        <v>57</v>
      </c>
      <c r="P6" s="1"/>
      <c r="U6" s="1">
        <v>1</v>
      </c>
      <c r="V6" s="46">
        <f t="shared" ref="V6:V25" si="0">V5*1.025</f>
        <v>17.592879828484236</v>
      </c>
      <c r="W6" s="46">
        <f t="shared" ref="W6:W25" si="1">W5*1.025</f>
        <v>20.642310267857141</v>
      </c>
      <c r="X6" s="46">
        <f t="shared" ref="X6:X25" si="2">X5*1.025</f>
        <v>22.706541294642857</v>
      </c>
      <c r="Y6" s="46">
        <f t="shared" ref="Y6:Y25" si="3">Y5*1.025</f>
        <v>24.977195424107148</v>
      </c>
      <c r="Z6" s="46" t="e">
        <f t="shared" ref="Z6:AA21" si="4">Z5+0.15</f>
        <v>#VALUE!</v>
      </c>
      <c r="AA6" s="46" t="e">
        <f t="shared" si="4"/>
        <v>#VALUE!</v>
      </c>
    </row>
    <row r="7" spans="1:27" x14ac:dyDescent="0.2">
      <c r="A7" s="282" t="s">
        <v>133</v>
      </c>
      <c r="B7" s="283"/>
      <c r="C7" s="283"/>
      <c r="D7" s="283"/>
      <c r="E7" s="283"/>
      <c r="F7" s="283"/>
      <c r="G7" s="283"/>
      <c r="H7" s="284"/>
      <c r="I7" s="55">
        <f>I6-H6</f>
        <v>2.9750540871930795</v>
      </c>
      <c r="J7" s="55">
        <f t="shared" ref="J7:M7" si="5">J6-I6</f>
        <v>1.0069419642857156</v>
      </c>
      <c r="K7" s="55">
        <f t="shared" si="5"/>
        <v>1.0069419642857156</v>
      </c>
      <c r="L7" s="55">
        <f>L6-K6</f>
        <v>1.1076361607142857</v>
      </c>
      <c r="M7" s="55">
        <f t="shared" si="5"/>
        <v>1.1076361607142893</v>
      </c>
      <c r="N7" s="55" t="s">
        <v>346</v>
      </c>
      <c r="O7" s="55" t="s">
        <v>346</v>
      </c>
      <c r="P7" s="1"/>
      <c r="U7" s="1">
        <v>2</v>
      </c>
      <c r="V7" s="46">
        <f t="shared" si="0"/>
        <v>18.032701824196341</v>
      </c>
      <c r="W7" s="46">
        <f t="shared" si="1"/>
        <v>21.158368024553567</v>
      </c>
      <c r="X7" s="46">
        <f t="shared" si="2"/>
        <v>23.274204827008926</v>
      </c>
      <c r="Y7" s="46">
        <f t="shared" si="3"/>
        <v>25.601625309709824</v>
      </c>
      <c r="Z7" s="46" t="e">
        <f t="shared" si="4"/>
        <v>#VALUE!</v>
      </c>
      <c r="AA7" s="46" t="e">
        <f t="shared" si="4"/>
        <v>#VALUE!</v>
      </c>
    </row>
    <row r="8" spans="1:27" x14ac:dyDescent="0.2">
      <c r="A8" s="56" t="s">
        <v>65</v>
      </c>
      <c r="B8" s="59">
        <f>'1A'!B22</f>
        <v>15.79</v>
      </c>
      <c r="C8" s="114">
        <f>'1A'!C22</f>
        <v>32843.199999999997</v>
      </c>
      <c r="D8" s="59">
        <f>'1A'!D22</f>
        <v>18.308035714285715</v>
      </c>
      <c r="E8" s="114">
        <f>'1A'!E22</f>
        <v>38080.71428571429</v>
      </c>
      <c r="F8" s="59">
        <f>'1A'!F22</f>
        <v>15.603441089564733</v>
      </c>
      <c r="G8" s="60">
        <f>'1A'!G22</f>
        <v>15.603441089564733</v>
      </c>
      <c r="H8" s="60">
        <f>'1A'!H22</f>
        <v>15.603441089564733</v>
      </c>
      <c r="I8" s="61">
        <f>'1A'!I22</f>
        <v>18.308035714285715</v>
      </c>
      <c r="J8" s="61">
        <f>'1A'!J22</f>
        <v>19.223437500000003</v>
      </c>
      <c r="K8" s="61">
        <f>'1A'!K22</f>
        <v>20.138839285714287</v>
      </c>
      <c r="L8" s="61">
        <f>'1A'!L22</f>
        <v>21.145781250000002</v>
      </c>
      <c r="M8" s="61">
        <f>'1A'!M22</f>
        <v>22.152723214285718</v>
      </c>
      <c r="N8" s="61" t="s">
        <v>57</v>
      </c>
      <c r="O8" s="62" t="s">
        <v>57</v>
      </c>
      <c r="P8" s="1"/>
      <c r="U8" s="1">
        <v>3</v>
      </c>
      <c r="V8" s="46">
        <f t="shared" si="0"/>
        <v>18.483519369801247</v>
      </c>
      <c r="W8" s="46">
        <f t="shared" si="1"/>
        <v>21.687327225167405</v>
      </c>
      <c r="X8" s="46">
        <f t="shared" si="2"/>
        <v>23.856059947684148</v>
      </c>
      <c r="Y8" s="46">
        <f t="shared" si="3"/>
        <v>26.241665942452567</v>
      </c>
      <c r="Z8" s="46" t="e">
        <f t="shared" si="4"/>
        <v>#VALUE!</v>
      </c>
      <c r="AA8" s="46" t="e">
        <f t="shared" si="4"/>
        <v>#VALUE!</v>
      </c>
    </row>
    <row r="9" spans="1:27" x14ac:dyDescent="0.2">
      <c r="A9" s="282" t="s">
        <v>133</v>
      </c>
      <c r="B9" s="283"/>
      <c r="C9" s="283"/>
      <c r="D9" s="283"/>
      <c r="E9" s="283"/>
      <c r="F9" s="283"/>
      <c r="G9" s="283"/>
      <c r="H9" s="284"/>
      <c r="I9" s="55">
        <f>I8-H8</f>
        <v>2.7045946247209827</v>
      </c>
      <c r="J9" s="55">
        <f t="shared" ref="J9:M9" si="6">J8-I8</f>
        <v>0.91540178571428754</v>
      </c>
      <c r="K9" s="55">
        <f t="shared" si="6"/>
        <v>0.91540178571428399</v>
      </c>
      <c r="L9" s="55">
        <f t="shared" si="6"/>
        <v>1.0069419642857156</v>
      </c>
      <c r="M9" s="55">
        <f t="shared" si="6"/>
        <v>1.0069419642857156</v>
      </c>
      <c r="N9" s="55" t="s">
        <v>346</v>
      </c>
      <c r="O9" s="55" t="s">
        <v>346</v>
      </c>
      <c r="P9" s="1"/>
      <c r="U9" s="1">
        <v>4</v>
      </c>
      <c r="V9" s="46">
        <f t="shared" si="0"/>
        <v>18.945607354046277</v>
      </c>
      <c r="W9" s="46">
        <f t="shared" si="1"/>
        <v>22.229510405796589</v>
      </c>
      <c r="X9" s="46">
        <f t="shared" si="2"/>
        <v>24.452461446376251</v>
      </c>
      <c r="Y9" s="46">
        <f t="shared" si="3"/>
        <v>26.89770759101388</v>
      </c>
      <c r="Z9" s="46" t="e">
        <f t="shared" si="4"/>
        <v>#VALUE!</v>
      </c>
      <c r="AA9" s="46" t="e">
        <f t="shared" si="4"/>
        <v>#VALUE!</v>
      </c>
    </row>
    <row r="10" spans="1:27" x14ac:dyDescent="0.2">
      <c r="P10" s="1"/>
      <c r="Q10" s="40"/>
      <c r="U10" s="1">
        <v>5</v>
      </c>
      <c r="V10" s="46">
        <f t="shared" si="0"/>
        <v>19.419247537897434</v>
      </c>
      <c r="W10" s="46">
        <f t="shared" si="1"/>
        <v>22.7852481659415</v>
      </c>
      <c r="X10" s="46">
        <f t="shared" si="2"/>
        <v>25.063772982535657</v>
      </c>
      <c r="Y10" s="46">
        <f t="shared" si="3"/>
        <v>27.570150280789225</v>
      </c>
      <c r="Z10" s="46" t="e">
        <f t="shared" si="4"/>
        <v>#VALUE!</v>
      </c>
      <c r="AA10" s="46" t="e">
        <f t="shared" si="4"/>
        <v>#VALUE!</v>
      </c>
    </row>
    <row r="11" spans="1:27" x14ac:dyDescent="0.2">
      <c r="P11" s="1"/>
      <c r="Q11" s="40"/>
      <c r="U11" s="1">
        <v>6</v>
      </c>
      <c r="V11" s="46">
        <f t="shared" si="0"/>
        <v>19.904728726344867</v>
      </c>
      <c r="W11" s="46">
        <f t="shared" si="1"/>
        <v>23.354879370090035</v>
      </c>
      <c r="X11" s="46">
        <f t="shared" si="2"/>
        <v>25.690367307099045</v>
      </c>
      <c r="Y11" s="46">
        <f t="shared" si="3"/>
        <v>28.259404037808952</v>
      </c>
      <c r="Z11" s="46" t="e">
        <f t="shared" si="4"/>
        <v>#VALUE!</v>
      </c>
      <c r="AA11" s="46" t="e">
        <f t="shared" si="4"/>
        <v>#VALUE!</v>
      </c>
    </row>
    <row r="12" spans="1:27" x14ac:dyDescent="0.2">
      <c r="P12" s="1"/>
      <c r="Q12" s="40"/>
      <c r="U12" s="1">
        <v>7</v>
      </c>
      <c r="V12" s="46">
        <f t="shared" si="0"/>
        <v>20.402346944503488</v>
      </c>
      <c r="W12" s="46">
        <f t="shared" si="1"/>
        <v>23.938751354342283</v>
      </c>
      <c r="X12" s="46">
        <f t="shared" si="2"/>
        <v>26.332626489776519</v>
      </c>
      <c r="Y12" s="46">
        <f t="shared" si="3"/>
        <v>28.965889138754175</v>
      </c>
      <c r="Z12" s="46" t="e">
        <f t="shared" si="4"/>
        <v>#VALUE!</v>
      </c>
      <c r="AA12" s="46" t="e">
        <f t="shared" si="4"/>
        <v>#VALUE!</v>
      </c>
    </row>
    <row r="13" spans="1:27" x14ac:dyDescent="0.2">
      <c r="U13" s="1">
        <v>8</v>
      </c>
      <c r="V13" s="46">
        <f t="shared" si="0"/>
        <v>20.912405618116075</v>
      </c>
      <c r="W13" s="46">
        <f t="shared" si="1"/>
        <v>24.537220138200837</v>
      </c>
      <c r="X13" s="46">
        <f t="shared" si="2"/>
        <v>26.990942152020931</v>
      </c>
      <c r="Y13" s="46">
        <f t="shared" si="3"/>
        <v>29.690036367223026</v>
      </c>
      <c r="Z13" s="46" t="e">
        <f t="shared" ref="Z13:AA13" si="7">Z12+0.15</f>
        <v>#VALUE!</v>
      </c>
      <c r="AA13" s="46" t="e">
        <f t="shared" si="7"/>
        <v>#VALUE!</v>
      </c>
    </row>
    <row r="14" spans="1:27" ht="15.75" x14ac:dyDescent="0.25">
      <c r="T14" s="28"/>
      <c r="U14" s="1">
        <v>9</v>
      </c>
      <c r="V14" s="46">
        <f t="shared" si="0"/>
        <v>21.435215758568976</v>
      </c>
      <c r="W14" s="46">
        <f t="shared" si="1"/>
        <v>25.150650641655854</v>
      </c>
      <c r="X14" s="46">
        <f t="shared" si="2"/>
        <v>27.665715705821452</v>
      </c>
      <c r="Y14" s="46">
        <f t="shared" si="3"/>
        <v>30.432287276403599</v>
      </c>
      <c r="Z14" s="46" t="e">
        <f t="shared" ref="Z14:AA14" si="8">Z13+0.15</f>
        <v>#VALUE!</v>
      </c>
      <c r="AA14" s="46" t="e">
        <f t="shared" si="8"/>
        <v>#VALUE!</v>
      </c>
    </row>
    <row r="15" spans="1:27" ht="16.5" thickBot="1" x14ac:dyDescent="0.3">
      <c r="A15" s="28" t="s">
        <v>347</v>
      </c>
      <c r="B15" s="28"/>
      <c r="C15" s="28"/>
      <c r="D15" s="28"/>
      <c r="E15" s="28"/>
      <c r="F15" s="28"/>
      <c r="G15" s="28"/>
      <c r="H15" s="28"/>
      <c r="I15" s="28"/>
      <c r="J15" s="28"/>
      <c r="K15" s="28"/>
      <c r="L15" s="28"/>
      <c r="M15" s="28"/>
      <c r="N15" s="28"/>
      <c r="O15" s="28"/>
      <c r="P15" s="28"/>
      <c r="Q15" s="28"/>
      <c r="R15" s="28"/>
      <c r="S15" s="28"/>
      <c r="T15" s="63"/>
      <c r="U15" s="1">
        <v>10</v>
      </c>
      <c r="V15" s="46">
        <f t="shared" si="0"/>
        <v>21.9710961525332</v>
      </c>
      <c r="W15" s="46">
        <f t="shared" si="1"/>
        <v>25.77941690769725</v>
      </c>
      <c r="X15" s="46">
        <f t="shared" si="2"/>
        <v>28.357358598466984</v>
      </c>
      <c r="Y15" s="46">
        <f t="shared" si="3"/>
        <v>31.193094458313688</v>
      </c>
      <c r="Z15" s="46" t="e">
        <f t="shared" si="4"/>
        <v>#VALUE!</v>
      </c>
      <c r="AA15" s="46" t="e">
        <f t="shared" si="4"/>
        <v>#VALUE!</v>
      </c>
    </row>
    <row r="16" spans="1:27" ht="15.75" thickBot="1" x14ac:dyDescent="0.3">
      <c r="A16" s="295" t="s">
        <v>135</v>
      </c>
      <c r="B16" s="300" t="s">
        <v>32</v>
      </c>
      <c r="C16" s="279"/>
      <c r="D16" s="279"/>
      <c r="E16" s="279" t="s">
        <v>32</v>
      </c>
      <c r="F16" s="279"/>
      <c r="G16" s="279"/>
      <c r="H16" s="279" t="s">
        <v>33</v>
      </c>
      <c r="I16" s="279"/>
      <c r="J16" s="279"/>
      <c r="K16" s="279" t="s">
        <v>34</v>
      </c>
      <c r="L16" s="279"/>
      <c r="M16" s="279"/>
      <c r="N16" s="279" t="s">
        <v>34</v>
      </c>
      <c r="O16" s="279"/>
      <c r="P16" s="294"/>
      <c r="Q16" s="279" t="s">
        <v>34</v>
      </c>
      <c r="R16" s="279"/>
      <c r="S16" s="294"/>
      <c r="T16" s="64"/>
      <c r="U16" s="1">
        <v>11</v>
      </c>
      <c r="V16" s="46">
        <f t="shared" si="0"/>
        <v>22.520373556346527</v>
      </c>
      <c r="W16" s="46">
        <f t="shared" si="1"/>
        <v>26.42390233038968</v>
      </c>
      <c r="X16" s="46">
        <f t="shared" si="2"/>
        <v>29.066292563428657</v>
      </c>
      <c r="Y16" s="46">
        <f t="shared" si="3"/>
        <v>31.972921819771528</v>
      </c>
      <c r="Z16" s="46" t="e">
        <f t="shared" si="4"/>
        <v>#VALUE!</v>
      </c>
      <c r="AA16" s="46" t="e">
        <f t="shared" si="4"/>
        <v>#VALUE!</v>
      </c>
    </row>
    <row r="17" spans="1:27" ht="15" x14ac:dyDescent="0.2">
      <c r="A17" s="296"/>
      <c r="B17" s="301" t="s">
        <v>136</v>
      </c>
      <c r="C17" s="302"/>
      <c r="D17" s="302"/>
      <c r="E17" s="273" t="s">
        <v>127</v>
      </c>
      <c r="F17" s="274"/>
      <c r="G17" s="275"/>
      <c r="H17" s="273" t="s">
        <v>42</v>
      </c>
      <c r="I17" s="274"/>
      <c r="J17" s="275"/>
      <c r="K17" s="291" t="s">
        <v>137</v>
      </c>
      <c r="L17" s="292"/>
      <c r="M17" s="293"/>
      <c r="N17" s="291" t="s">
        <v>44</v>
      </c>
      <c r="O17" s="292"/>
      <c r="P17" s="293"/>
      <c r="Q17" s="291" t="s">
        <v>138</v>
      </c>
      <c r="R17" s="292"/>
      <c r="S17" s="293"/>
      <c r="T17" s="71"/>
      <c r="U17" s="1">
        <v>12</v>
      </c>
      <c r="V17" s="46">
        <f t="shared" si="0"/>
        <v>23.083382895255188</v>
      </c>
      <c r="W17" s="46">
        <f t="shared" si="1"/>
        <v>27.084499888649418</v>
      </c>
      <c r="X17" s="46">
        <f t="shared" si="2"/>
        <v>29.792949877514371</v>
      </c>
      <c r="Y17" s="46">
        <f t="shared" si="3"/>
        <v>32.772244865265812</v>
      </c>
      <c r="Z17" s="46" t="e">
        <f t="shared" si="4"/>
        <v>#VALUE!</v>
      </c>
      <c r="AA17" s="46" t="e">
        <f t="shared" si="4"/>
        <v>#VALUE!</v>
      </c>
    </row>
    <row r="18" spans="1:27" ht="15" thickBot="1" x14ac:dyDescent="0.25">
      <c r="A18" s="297"/>
      <c r="B18" s="65" t="s">
        <v>139</v>
      </c>
      <c r="C18" s="66" t="s">
        <v>140</v>
      </c>
      <c r="D18" s="66" t="s">
        <v>141</v>
      </c>
      <c r="E18" s="67" t="s">
        <v>139</v>
      </c>
      <c r="F18" s="68" t="s">
        <v>140</v>
      </c>
      <c r="G18" s="69" t="s">
        <v>141</v>
      </c>
      <c r="H18" s="66" t="s">
        <v>139</v>
      </c>
      <c r="I18" s="66" t="s">
        <v>140</v>
      </c>
      <c r="J18" s="70" t="s">
        <v>141</v>
      </c>
      <c r="K18" s="65" t="s">
        <v>139</v>
      </c>
      <c r="L18" s="66" t="s">
        <v>140</v>
      </c>
      <c r="M18" s="70" t="s">
        <v>141</v>
      </c>
      <c r="N18" s="65" t="s">
        <v>139</v>
      </c>
      <c r="O18" s="66" t="s">
        <v>140</v>
      </c>
      <c r="P18" s="70" t="s">
        <v>141</v>
      </c>
      <c r="Q18" s="65" t="s">
        <v>139</v>
      </c>
      <c r="R18" s="66" t="s">
        <v>140</v>
      </c>
      <c r="S18" s="70" t="s">
        <v>141</v>
      </c>
      <c r="T18" s="73"/>
      <c r="U18" s="1">
        <v>13</v>
      </c>
      <c r="V18" s="46">
        <f t="shared" si="0"/>
        <v>23.660467467636565</v>
      </c>
      <c r="W18" s="46">
        <f t="shared" si="1"/>
        <v>27.76161238586565</v>
      </c>
      <c r="X18" s="46">
        <f t="shared" si="2"/>
        <v>30.537773624452228</v>
      </c>
      <c r="Y18" s="46">
        <f t="shared" si="3"/>
        <v>33.591550986897452</v>
      </c>
      <c r="Z18" s="46" t="e">
        <f t="shared" si="4"/>
        <v>#VALUE!</v>
      </c>
      <c r="AA18" s="46" t="e">
        <f t="shared" si="4"/>
        <v>#VALUE!</v>
      </c>
    </row>
    <row r="19" spans="1:27" x14ac:dyDescent="0.2">
      <c r="A19" s="72" t="s">
        <v>142</v>
      </c>
      <c r="B19" s="73">
        <f>F6</f>
        <v>17.163785198521207</v>
      </c>
      <c r="C19" s="73">
        <f>MEDIAN(B19,D19)</f>
        <v>17.823652284161227</v>
      </c>
      <c r="D19" s="73">
        <f>B19*((1.025)^3)</f>
        <v>18.48351936980125</v>
      </c>
      <c r="E19" s="74">
        <f>I6</f>
        <v>20.138839285714287</v>
      </c>
      <c r="F19" s="73">
        <f>MEDIAN(E19,G19)</f>
        <v>20.913083255440846</v>
      </c>
      <c r="G19" s="75">
        <f>E19*((1.025)^3)</f>
        <v>21.687327225167408</v>
      </c>
      <c r="H19" s="73">
        <f>K6</f>
        <v>22.152723214285718</v>
      </c>
      <c r="I19" s="73">
        <f>MEDIAN(H19,J19)</f>
        <v>23.004391580984937</v>
      </c>
      <c r="J19" s="75">
        <f>H19*((1.025)^3)</f>
        <v>23.856059947684152</v>
      </c>
      <c r="K19" s="74">
        <f>M6</f>
        <v>24.367995535714293</v>
      </c>
      <c r="L19" s="73">
        <f>MEDIAN(K19,M19)</f>
        <v>25.304830739083432</v>
      </c>
      <c r="M19" s="75">
        <f>K19*((1.025)^3)</f>
        <v>26.24166594245257</v>
      </c>
      <c r="N19" s="74" t="s">
        <v>346</v>
      </c>
      <c r="O19" s="73" t="s">
        <v>346</v>
      </c>
      <c r="P19" s="75" t="s">
        <v>346</v>
      </c>
      <c r="Q19" s="74" t="s">
        <v>346</v>
      </c>
      <c r="R19" s="73" t="s">
        <v>346</v>
      </c>
      <c r="S19" s="75" t="s">
        <v>346</v>
      </c>
      <c r="T19" s="73"/>
      <c r="U19" s="1">
        <v>14</v>
      </c>
      <c r="V19" s="46">
        <f t="shared" si="0"/>
        <v>24.251979154327476</v>
      </c>
      <c r="W19" s="46">
        <f t="shared" si="1"/>
        <v>28.455652695512288</v>
      </c>
      <c r="X19" s="46">
        <f t="shared" si="2"/>
        <v>31.301217965063532</v>
      </c>
      <c r="Y19" s="46">
        <f t="shared" si="3"/>
        <v>34.431339761569888</v>
      </c>
      <c r="Z19" s="46" t="e">
        <f t="shared" si="4"/>
        <v>#VALUE!</v>
      </c>
      <c r="AA19" s="46" t="e">
        <f t="shared" si="4"/>
        <v>#VALUE!</v>
      </c>
    </row>
    <row r="20" spans="1:27" x14ac:dyDescent="0.2">
      <c r="A20" s="76" t="s">
        <v>143</v>
      </c>
      <c r="B20" s="73">
        <f>B19*((1.025)^4)</f>
        <v>18.945607354046281</v>
      </c>
      <c r="C20" s="73">
        <f t="shared" ref="C20:C24" si="9">MEDIAN(B20,D20)</f>
        <v>19.425168040195572</v>
      </c>
      <c r="D20" s="73">
        <f>B19*((1.025)^6)</f>
        <v>19.904728726344867</v>
      </c>
      <c r="E20" s="74">
        <f>E19*((1.025)^4)</f>
        <v>22.229510405796592</v>
      </c>
      <c r="F20" s="73">
        <f t="shared" ref="F20:F24" si="10">MEDIAN(E20,G20)</f>
        <v>22.792194887943317</v>
      </c>
      <c r="G20" s="75">
        <f>E19*((1.025)^6)</f>
        <v>23.354879370090043</v>
      </c>
      <c r="H20" s="73">
        <f>H19*((1.025)^4)</f>
        <v>24.452461446376255</v>
      </c>
      <c r="I20" s="73">
        <f t="shared" ref="I20:I24" si="11">MEDIAN(H20,J20)</f>
        <v>25.07141437673765</v>
      </c>
      <c r="J20" s="75">
        <f>H19*((1.025)^6)</f>
        <v>25.690367307099049</v>
      </c>
      <c r="K20" s="74">
        <f>K19*((1.025)^4)</f>
        <v>26.897707591013884</v>
      </c>
      <c r="L20" s="73">
        <f t="shared" ref="L20:L24" si="12">MEDIAN(K20,M20)</f>
        <v>27.57855581441142</v>
      </c>
      <c r="M20" s="75">
        <f>K19*((1.025)^6)</f>
        <v>28.259404037808956</v>
      </c>
      <c r="N20" s="74" t="s">
        <v>346</v>
      </c>
      <c r="O20" s="73" t="s">
        <v>346</v>
      </c>
      <c r="P20" s="75" t="s">
        <v>346</v>
      </c>
      <c r="Q20" s="74" t="s">
        <v>346</v>
      </c>
      <c r="R20" s="73" t="s">
        <v>346</v>
      </c>
      <c r="S20" s="75" t="s">
        <v>346</v>
      </c>
      <c r="T20" s="73"/>
      <c r="U20" s="1">
        <v>15</v>
      </c>
      <c r="V20" s="46">
        <f t="shared" si="0"/>
        <v>24.858278633185659</v>
      </c>
      <c r="W20" s="46">
        <f t="shared" si="1"/>
        <v>29.167044012900092</v>
      </c>
      <c r="X20" s="46">
        <f t="shared" si="2"/>
        <v>32.083748414190119</v>
      </c>
      <c r="Y20" s="46">
        <f t="shared" si="3"/>
        <v>35.292123255609134</v>
      </c>
      <c r="Z20" s="46" t="e">
        <f t="shared" si="4"/>
        <v>#VALUE!</v>
      </c>
      <c r="AA20" s="46" t="e">
        <f t="shared" si="4"/>
        <v>#VALUE!</v>
      </c>
    </row>
    <row r="21" spans="1:27" x14ac:dyDescent="0.2">
      <c r="A21" s="76" t="s">
        <v>144</v>
      </c>
      <c r="B21" s="73">
        <f>B19*((1.025)^7)</f>
        <v>20.402346944503492</v>
      </c>
      <c r="C21" s="73">
        <f t="shared" si="9"/>
        <v>20.918781351536232</v>
      </c>
      <c r="D21" s="73">
        <f>B19*((1.025)^9)</f>
        <v>21.435215758568976</v>
      </c>
      <c r="E21" s="74">
        <f>E19*((1.025)^7)</f>
        <v>23.938751354342294</v>
      </c>
      <c r="F21" s="73">
        <f t="shared" si="10"/>
        <v>24.54470099799908</v>
      </c>
      <c r="G21" s="75">
        <f>E19*((1.025)^9)</f>
        <v>25.150650641655865</v>
      </c>
      <c r="H21" s="73">
        <f>H19*((1.025)^7)</f>
        <v>26.332626489776526</v>
      </c>
      <c r="I21" s="73">
        <f t="shared" si="11"/>
        <v>26.999171097798992</v>
      </c>
      <c r="J21" s="75">
        <f>H19*((1.025)^9)</f>
        <v>27.665715705821455</v>
      </c>
      <c r="K21" s="74">
        <f>K19*((1.025)^7)</f>
        <v>28.965889138754182</v>
      </c>
      <c r="L21" s="73">
        <f t="shared" si="12"/>
        <v>29.699088207578896</v>
      </c>
      <c r="M21" s="75">
        <f>K19*((1.025)^9)</f>
        <v>30.432287276403606</v>
      </c>
      <c r="N21" s="74" t="s">
        <v>346</v>
      </c>
      <c r="O21" s="73" t="s">
        <v>346</v>
      </c>
      <c r="P21" s="75" t="s">
        <v>346</v>
      </c>
      <c r="Q21" s="74" t="s">
        <v>346</v>
      </c>
      <c r="R21" s="73" t="s">
        <v>346</v>
      </c>
      <c r="S21" s="75" t="s">
        <v>346</v>
      </c>
      <c r="T21" s="73"/>
      <c r="U21" s="1">
        <v>16</v>
      </c>
      <c r="V21" s="46">
        <f t="shared" si="0"/>
        <v>25.479735599015299</v>
      </c>
      <c r="W21" s="46">
        <f t="shared" si="1"/>
        <v>29.896220113222594</v>
      </c>
      <c r="X21" s="46">
        <f t="shared" si="2"/>
        <v>32.885842124544865</v>
      </c>
      <c r="Y21" s="46">
        <f t="shared" si="3"/>
        <v>36.17442633699936</v>
      </c>
      <c r="Z21" s="46" t="e">
        <f t="shared" si="4"/>
        <v>#VALUE!</v>
      </c>
      <c r="AA21" s="46" t="e">
        <f t="shared" si="4"/>
        <v>#VALUE!</v>
      </c>
    </row>
    <row r="22" spans="1:27" x14ac:dyDescent="0.2">
      <c r="A22" s="76" t="s">
        <v>145</v>
      </c>
      <c r="B22" s="73">
        <f>B19*((1.025)^10)</f>
        <v>21.9710961525332</v>
      </c>
      <c r="C22" s="73">
        <f t="shared" si="9"/>
        <v>22.527239523894195</v>
      </c>
      <c r="D22" s="73">
        <f>B19*((1.025)^12)</f>
        <v>23.083382895255191</v>
      </c>
      <c r="E22" s="74">
        <f>E19*((1.025)^10)</f>
        <v>25.779416907697261</v>
      </c>
      <c r="F22" s="73">
        <f t="shared" si="10"/>
        <v>26.431958398173347</v>
      </c>
      <c r="G22" s="75">
        <f>E19*((1.025)^12)</f>
        <v>27.084499888649432</v>
      </c>
      <c r="H22" s="73">
        <f>H19*((1.025)^10)</f>
        <v>28.357358598466991</v>
      </c>
      <c r="I22" s="73">
        <f t="shared" si="11"/>
        <v>29.075154237990688</v>
      </c>
      <c r="J22" s="75">
        <f>H19*((1.025)^12)</f>
        <v>29.792949877514381</v>
      </c>
      <c r="K22" s="74">
        <f>K19*((1.025)^10)</f>
        <v>31.193094458313695</v>
      </c>
      <c r="L22" s="73">
        <f t="shared" si="12"/>
        <v>31.98266966178976</v>
      </c>
      <c r="M22" s="75">
        <f>K19*((1.025)^12)</f>
        <v>32.772244865265826</v>
      </c>
      <c r="N22" s="74" t="s">
        <v>346</v>
      </c>
      <c r="O22" s="73" t="s">
        <v>346</v>
      </c>
      <c r="P22" s="75" t="s">
        <v>346</v>
      </c>
      <c r="Q22" s="74" t="s">
        <v>346</v>
      </c>
      <c r="R22" s="73" t="s">
        <v>346</v>
      </c>
      <c r="S22" s="75" t="s">
        <v>346</v>
      </c>
      <c r="T22" s="73"/>
      <c r="U22" s="1">
        <v>17</v>
      </c>
      <c r="V22" s="46">
        <f t="shared" si="0"/>
        <v>26.11672898899068</v>
      </c>
      <c r="W22" s="46">
        <f t="shared" si="1"/>
        <v>30.643625616053157</v>
      </c>
      <c r="X22" s="46">
        <f t="shared" si="2"/>
        <v>33.707988177658486</v>
      </c>
      <c r="Y22" s="46">
        <f t="shared" si="3"/>
        <v>37.078786995424338</v>
      </c>
      <c r="Z22" s="46" t="e">
        <f t="shared" ref="Z22:AA22" si="13">Z21+0.15</f>
        <v>#VALUE!</v>
      </c>
      <c r="AA22" s="46" t="e">
        <f t="shared" si="13"/>
        <v>#VALUE!</v>
      </c>
    </row>
    <row r="23" spans="1:27" x14ac:dyDescent="0.2">
      <c r="A23" s="76" t="s">
        <v>146</v>
      </c>
      <c r="B23" s="73">
        <f>B19*((1.025)^13)</f>
        <v>23.660467467636568</v>
      </c>
      <c r="C23" s="73">
        <f t="shared" si="9"/>
        <v>24.259373050411121</v>
      </c>
      <c r="D23" s="73">
        <f>B19*((1.025)^15)</f>
        <v>24.858278633185673</v>
      </c>
      <c r="E23" s="74">
        <f>E19*((1.025)^13)</f>
        <v>27.761612385865668</v>
      </c>
      <c r="F23" s="73">
        <f t="shared" si="10"/>
        <v>28.464328199382891</v>
      </c>
      <c r="G23" s="75">
        <f>E19*((1.025)^15)</f>
        <v>29.167044012900117</v>
      </c>
      <c r="H23" s="73">
        <f>H19*((1.025)^13)</f>
        <v>30.537773624452239</v>
      </c>
      <c r="I23" s="73">
        <f t="shared" si="11"/>
        <v>31.310761019321184</v>
      </c>
      <c r="J23" s="75">
        <f>H19*((1.025)^15)</f>
        <v>32.083748414190133</v>
      </c>
      <c r="K23" s="74">
        <f>K19*((1.025)^13)</f>
        <v>33.591550986897467</v>
      </c>
      <c r="L23" s="73">
        <f t="shared" si="12"/>
        <v>34.441837121253315</v>
      </c>
      <c r="M23" s="75">
        <f>K19*((1.025)^15)</f>
        <v>35.292123255609155</v>
      </c>
      <c r="N23" s="74" t="s">
        <v>346</v>
      </c>
      <c r="O23" s="73" t="s">
        <v>346</v>
      </c>
      <c r="P23" s="75" t="s">
        <v>346</v>
      </c>
      <c r="Q23" s="74" t="s">
        <v>346</v>
      </c>
      <c r="R23" s="73" t="s">
        <v>346</v>
      </c>
      <c r="S23" s="75" t="s">
        <v>346</v>
      </c>
      <c r="T23" s="73"/>
      <c r="U23" s="1">
        <v>18</v>
      </c>
      <c r="V23" s="46">
        <f t="shared" si="0"/>
        <v>26.769647213715444</v>
      </c>
      <c r="W23" s="46">
        <f t="shared" si="1"/>
        <v>31.409716256454484</v>
      </c>
      <c r="X23" s="46">
        <f t="shared" si="2"/>
        <v>34.550687882099943</v>
      </c>
      <c r="Y23" s="46">
        <f t="shared" si="3"/>
        <v>38.005756670309943</v>
      </c>
      <c r="Z23" s="46" t="e">
        <f t="shared" ref="Z23:AA25" si="14">Z22+0.15</f>
        <v>#VALUE!</v>
      </c>
      <c r="AA23" s="46" t="e">
        <f t="shared" si="14"/>
        <v>#VALUE!</v>
      </c>
    </row>
    <row r="24" spans="1:27" x14ac:dyDescent="0.2">
      <c r="A24" s="76" t="s">
        <v>147</v>
      </c>
      <c r="B24" s="73">
        <f>B19*((1.025)^16)</f>
        <v>25.47973559901531</v>
      </c>
      <c r="C24" s="73">
        <f t="shared" si="9"/>
        <v>26.802298101462554</v>
      </c>
      <c r="D24" s="73">
        <f>B19*((1.025)^20)</f>
        <v>28.124860603909802</v>
      </c>
      <c r="E24" s="74">
        <f>E19*((1.025)^16)</f>
        <v>29.896220113222618</v>
      </c>
      <c r="F24" s="73">
        <f t="shared" si="10"/>
        <v>31.448026627580067</v>
      </c>
      <c r="G24" s="75">
        <f>E19*((1.025)^20)</f>
        <v>32.999833141937515</v>
      </c>
      <c r="H24" s="74">
        <f>H19*((1.025)^16)</f>
        <v>32.885842124544887</v>
      </c>
      <c r="I24" s="73">
        <f t="shared" si="11"/>
        <v>34.592829290338081</v>
      </c>
      <c r="J24" s="75">
        <f>H19*((1.025)^20)</f>
        <v>36.299816456131275</v>
      </c>
      <c r="K24" s="73">
        <f>K19*((1.025)^16)</f>
        <v>36.174426336999375</v>
      </c>
      <c r="L24" s="73">
        <f t="shared" si="12"/>
        <v>38.052112219371892</v>
      </c>
      <c r="M24" s="75">
        <f>K19*((1.025)^20)</f>
        <v>39.929798101744403</v>
      </c>
      <c r="N24" s="73" t="s">
        <v>346</v>
      </c>
      <c r="O24" s="73" t="s">
        <v>346</v>
      </c>
      <c r="P24" s="73" t="s">
        <v>346</v>
      </c>
      <c r="Q24" s="74" t="s">
        <v>346</v>
      </c>
      <c r="R24" s="73" t="s">
        <v>346</v>
      </c>
      <c r="S24" s="75" t="s">
        <v>346</v>
      </c>
      <c r="U24" s="1">
        <v>19</v>
      </c>
      <c r="V24" s="46">
        <f t="shared" si="0"/>
        <v>27.438888394058328</v>
      </c>
      <c r="W24" s="46">
        <f t="shared" si="1"/>
        <v>32.194959162865842</v>
      </c>
      <c r="X24" s="46">
        <f t="shared" si="2"/>
        <v>35.41445507915244</v>
      </c>
      <c r="Y24" s="46">
        <f t="shared" si="3"/>
        <v>38.955900587067688</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28.124860603909784</v>
      </c>
      <c r="W25" s="46">
        <f t="shared" si="1"/>
        <v>32.999833141937486</v>
      </c>
      <c r="X25" s="46">
        <f t="shared" si="2"/>
        <v>36.299816456131246</v>
      </c>
      <c r="Y25" s="46">
        <f t="shared" si="3"/>
        <v>39.929798101744375</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07" t="s">
        <v>301</v>
      </c>
      <c r="W28" s="307"/>
      <c r="X28" s="307"/>
      <c r="Y28" s="307"/>
      <c r="Z28" s="307"/>
      <c r="AA28" s="307"/>
    </row>
    <row r="29" spans="1:27" ht="16.5" thickBot="1" x14ac:dyDescent="0.3">
      <c r="A29" s="28" t="s">
        <v>348</v>
      </c>
      <c r="B29" s="28"/>
      <c r="C29" s="28"/>
      <c r="D29" s="28"/>
      <c r="E29" s="28"/>
      <c r="F29" s="28"/>
      <c r="G29" s="28"/>
      <c r="H29" s="28"/>
      <c r="I29" s="28"/>
      <c r="J29" s="28"/>
      <c r="K29" s="28"/>
      <c r="L29" s="28"/>
      <c r="M29" s="28"/>
      <c r="N29" s="28"/>
      <c r="O29" s="28"/>
      <c r="P29" s="28"/>
      <c r="Q29" s="28"/>
      <c r="R29" s="28"/>
      <c r="S29" s="28"/>
      <c r="U29" s="1" t="s">
        <v>128</v>
      </c>
      <c r="V29" s="44" t="s">
        <v>129</v>
      </c>
      <c r="W29" s="44" t="s">
        <v>47</v>
      </c>
      <c r="X29" s="44" t="s">
        <v>49</v>
      </c>
      <c r="Y29" s="44" t="s">
        <v>130</v>
      </c>
      <c r="Z29" s="44" t="s">
        <v>131</v>
      </c>
      <c r="AA29" s="44" t="s">
        <v>132</v>
      </c>
    </row>
    <row r="30" spans="1:27" ht="15.75" thickBot="1" x14ac:dyDescent="0.3">
      <c r="A30" s="295" t="s">
        <v>135</v>
      </c>
      <c r="B30" s="300" t="s">
        <v>32</v>
      </c>
      <c r="C30" s="279"/>
      <c r="D30" s="279"/>
      <c r="E30" s="279" t="s">
        <v>32</v>
      </c>
      <c r="F30" s="279"/>
      <c r="G30" s="279"/>
      <c r="H30" s="279" t="s">
        <v>33</v>
      </c>
      <c r="I30" s="279"/>
      <c r="J30" s="279"/>
      <c r="K30" s="279" t="s">
        <v>34</v>
      </c>
      <c r="L30" s="279"/>
      <c r="M30" s="279"/>
      <c r="N30" s="279" t="s">
        <v>34</v>
      </c>
      <c r="O30" s="279"/>
      <c r="P30" s="294"/>
      <c r="Q30" s="279" t="s">
        <v>34</v>
      </c>
      <c r="R30" s="279"/>
      <c r="S30" s="294"/>
      <c r="U30" s="1">
        <v>0</v>
      </c>
      <c r="V30" s="46">
        <f>H8</f>
        <v>15.603441089564733</v>
      </c>
      <c r="W30" s="46">
        <f>I8</f>
        <v>18.308035714285715</v>
      </c>
      <c r="X30" s="46">
        <f>K8</f>
        <v>20.138839285714287</v>
      </c>
      <c r="Y30" s="46">
        <f>M8</f>
        <v>22.152723214285718</v>
      </c>
      <c r="Z30" s="46" t="str">
        <f>N8</f>
        <v>-</v>
      </c>
      <c r="AA30" s="46" t="str">
        <f>O8</f>
        <v>-</v>
      </c>
    </row>
    <row r="31" spans="1:27" ht="15" x14ac:dyDescent="0.2">
      <c r="A31" s="296"/>
      <c r="B31" s="301" t="s">
        <v>149</v>
      </c>
      <c r="C31" s="302"/>
      <c r="D31" s="308"/>
      <c r="E31" s="291" t="s">
        <v>127</v>
      </c>
      <c r="F31" s="292"/>
      <c r="G31" s="292"/>
      <c r="H31" s="273" t="s">
        <v>42</v>
      </c>
      <c r="I31" s="274"/>
      <c r="J31" s="275"/>
      <c r="K31" s="291" t="s">
        <v>43</v>
      </c>
      <c r="L31" s="292"/>
      <c r="M31" s="293"/>
      <c r="N31" s="291" t="s">
        <v>44</v>
      </c>
      <c r="O31" s="292"/>
      <c r="P31" s="293"/>
      <c r="Q31" s="291" t="s">
        <v>150</v>
      </c>
      <c r="R31" s="292"/>
      <c r="S31" s="293"/>
      <c r="U31" s="1">
        <v>1</v>
      </c>
      <c r="V31" s="46">
        <f t="shared" ref="V31:V50" si="15">V30*1.025</f>
        <v>15.99352711680385</v>
      </c>
      <c r="W31" s="46">
        <f t="shared" ref="W31:W50" si="16">W30*1.025</f>
        <v>18.765736607142856</v>
      </c>
      <c r="X31" s="46">
        <f t="shared" ref="X31:X50" si="17">X30*1.025</f>
        <v>20.642310267857141</v>
      </c>
      <c r="Y31" s="46">
        <f t="shared" ref="Y31:Y50" si="18">Y30*1.025</f>
        <v>22.706541294642857</v>
      </c>
      <c r="Z31" s="46" t="e">
        <f t="shared" ref="Z31:AA31" si="19">Z30+0.15</f>
        <v>#VALUE!</v>
      </c>
      <c r="AA31" s="46" t="e">
        <f t="shared" si="19"/>
        <v>#VALUE!</v>
      </c>
    </row>
    <row r="32" spans="1:27" ht="15" thickBot="1" x14ac:dyDescent="0.25">
      <c r="A32" s="297"/>
      <c r="B32" s="65" t="s">
        <v>139</v>
      </c>
      <c r="C32" s="66" t="s">
        <v>140</v>
      </c>
      <c r="D32" s="70" t="s">
        <v>141</v>
      </c>
      <c r="E32" s="68" t="s">
        <v>139</v>
      </c>
      <c r="F32" s="68" t="s">
        <v>140</v>
      </c>
      <c r="G32" s="68" t="s">
        <v>141</v>
      </c>
      <c r="H32" s="65" t="s">
        <v>139</v>
      </c>
      <c r="I32" s="66" t="s">
        <v>140</v>
      </c>
      <c r="J32" s="70" t="s">
        <v>141</v>
      </c>
      <c r="K32" s="65" t="s">
        <v>139</v>
      </c>
      <c r="L32" s="66" t="s">
        <v>140</v>
      </c>
      <c r="M32" s="70" t="s">
        <v>141</v>
      </c>
      <c r="N32" s="65" t="s">
        <v>139</v>
      </c>
      <c r="O32" s="66" t="s">
        <v>140</v>
      </c>
      <c r="P32" s="70" t="s">
        <v>141</v>
      </c>
      <c r="Q32" s="65" t="s">
        <v>139</v>
      </c>
      <c r="R32" s="66" t="s">
        <v>140</v>
      </c>
      <c r="S32" s="70" t="s">
        <v>141</v>
      </c>
      <c r="U32" s="1">
        <v>2</v>
      </c>
      <c r="V32" s="46">
        <f t="shared" si="15"/>
        <v>16.393365294723946</v>
      </c>
      <c r="W32" s="46">
        <f t="shared" si="16"/>
        <v>19.234880022321427</v>
      </c>
      <c r="X32" s="46">
        <f t="shared" si="17"/>
        <v>21.158368024553567</v>
      </c>
      <c r="Y32" s="46">
        <f t="shared" si="18"/>
        <v>23.274204827008926</v>
      </c>
      <c r="Z32" s="46" t="e">
        <f t="shared" ref="Z32:AA38" si="20">Z31+0.15</f>
        <v>#VALUE!</v>
      </c>
      <c r="AA32" s="46" t="e">
        <f t="shared" si="20"/>
        <v>#VALUE!</v>
      </c>
    </row>
    <row r="33" spans="1:27" x14ac:dyDescent="0.2">
      <c r="A33" s="72" t="s">
        <v>142</v>
      </c>
      <c r="B33" s="73">
        <f>F8</f>
        <v>15.603441089564733</v>
      </c>
      <c r="C33" s="73">
        <f>MEDIAN(B33,D33)</f>
        <v>16.20332025832839</v>
      </c>
      <c r="D33" s="75">
        <f>B33*((1.025)^3)</f>
        <v>16.803199427092043</v>
      </c>
      <c r="E33" s="73">
        <f>I8</f>
        <v>18.308035714285715</v>
      </c>
      <c r="F33" s="73">
        <f>MEDIAN(E33,G33)</f>
        <v>19.01189386858259</v>
      </c>
      <c r="G33" s="73">
        <f>E33*((1.025)^3)</f>
        <v>19.715752022879464</v>
      </c>
      <c r="H33" s="74">
        <f>K8</f>
        <v>20.138839285714287</v>
      </c>
      <c r="I33" s="73">
        <f>MEDIAN(H33,J33)</f>
        <v>20.913083255440846</v>
      </c>
      <c r="J33" s="75">
        <f>H33*((1.025)^3)</f>
        <v>21.687327225167408</v>
      </c>
      <c r="K33" s="74">
        <f>M8</f>
        <v>22.152723214285718</v>
      </c>
      <c r="L33" s="73">
        <f>MEDIAN(K33,M33)</f>
        <v>23.004391580984937</v>
      </c>
      <c r="M33" s="75">
        <f>K33*((1.025)^3)</f>
        <v>23.856059947684152</v>
      </c>
      <c r="N33" s="74" t="s">
        <v>346</v>
      </c>
      <c r="O33" s="73" t="s">
        <v>346</v>
      </c>
      <c r="P33" s="75" t="s">
        <v>346</v>
      </c>
      <c r="Q33" s="74" t="s">
        <v>346</v>
      </c>
      <c r="R33" s="73" t="s">
        <v>346</v>
      </c>
      <c r="S33" s="75" t="s">
        <v>346</v>
      </c>
      <c r="U33" s="1">
        <v>3</v>
      </c>
      <c r="V33" s="46">
        <f t="shared" si="15"/>
        <v>16.803199427092043</v>
      </c>
      <c r="W33" s="46">
        <f t="shared" si="16"/>
        <v>19.71575202287946</v>
      </c>
      <c r="X33" s="46">
        <f t="shared" si="17"/>
        <v>21.687327225167405</v>
      </c>
      <c r="Y33" s="46">
        <f t="shared" si="18"/>
        <v>23.856059947684148</v>
      </c>
      <c r="Z33" s="46" t="e">
        <f t="shared" si="20"/>
        <v>#VALUE!</v>
      </c>
      <c r="AA33" s="46" t="e">
        <f t="shared" si="20"/>
        <v>#VALUE!</v>
      </c>
    </row>
    <row r="34" spans="1:27" x14ac:dyDescent="0.2">
      <c r="A34" s="76" t="s">
        <v>143</v>
      </c>
      <c r="B34" s="73">
        <f>B33*((1.025)^4)</f>
        <v>17.223279412769344</v>
      </c>
      <c r="C34" s="73">
        <f t="shared" ref="C34:C38" si="21">MEDIAN(B34,D34)</f>
        <v>17.659243672905067</v>
      </c>
      <c r="D34" s="75">
        <f>B33*((1.025)^6)</f>
        <v>18.09520793304079</v>
      </c>
      <c r="E34" s="73">
        <f>E33*((1.025)^4)</f>
        <v>20.208645823451448</v>
      </c>
      <c r="F34" s="73">
        <f t="shared" ref="F34:F38" si="22">MEDIAN(E34,G34)</f>
        <v>20.720177170857561</v>
      </c>
      <c r="G34" s="73">
        <f>E33*((1.025)^6)</f>
        <v>21.231708518263673</v>
      </c>
      <c r="H34" s="74">
        <f>H33*((1.025)^4)</f>
        <v>22.229510405796592</v>
      </c>
      <c r="I34" s="73">
        <f t="shared" ref="I34:I38" si="23">MEDIAN(H34,J34)</f>
        <v>22.792194887943317</v>
      </c>
      <c r="J34" s="75">
        <f>H33*((1.025)^6)</f>
        <v>23.354879370090043</v>
      </c>
      <c r="K34" s="74">
        <f>K33*((1.025)^4)</f>
        <v>24.452461446376255</v>
      </c>
      <c r="L34" s="73">
        <f t="shared" ref="L34:L38" si="24">MEDIAN(K34,M34)</f>
        <v>25.07141437673765</v>
      </c>
      <c r="M34" s="75">
        <f>K33*((1.025)^6)</f>
        <v>25.690367307099049</v>
      </c>
      <c r="N34" s="74" t="s">
        <v>346</v>
      </c>
      <c r="O34" s="73" t="s">
        <v>346</v>
      </c>
      <c r="P34" s="75" t="s">
        <v>346</v>
      </c>
      <c r="Q34" s="74" t="s">
        <v>346</v>
      </c>
      <c r="R34" s="73" t="s">
        <v>346</v>
      </c>
      <c r="S34" s="75" t="s">
        <v>346</v>
      </c>
      <c r="U34" s="1">
        <v>4</v>
      </c>
      <c r="V34" s="46">
        <f t="shared" si="15"/>
        <v>17.223279412769344</v>
      </c>
      <c r="W34" s="46">
        <f t="shared" si="16"/>
        <v>20.208645823451445</v>
      </c>
      <c r="X34" s="46">
        <f t="shared" si="17"/>
        <v>22.229510405796589</v>
      </c>
      <c r="Y34" s="46">
        <f t="shared" si="18"/>
        <v>24.452461446376251</v>
      </c>
      <c r="Z34" s="46" t="e">
        <f t="shared" si="20"/>
        <v>#VALUE!</v>
      </c>
      <c r="AA34" s="46" t="e">
        <f t="shared" si="20"/>
        <v>#VALUE!</v>
      </c>
    </row>
    <row r="35" spans="1:27" x14ac:dyDescent="0.2">
      <c r="A35" s="76" t="s">
        <v>144</v>
      </c>
      <c r="B35" s="73">
        <f>B33*((1.025)^7)</f>
        <v>18.547588131366808</v>
      </c>
      <c r="C35" s="73">
        <f t="shared" si="21"/>
        <v>19.017073955942028</v>
      </c>
      <c r="D35" s="75">
        <f>B33*((1.025)^9)</f>
        <v>19.486559780517247</v>
      </c>
      <c r="E35" s="73">
        <f>E33*((1.025)^7)</f>
        <v>21.762501231220266</v>
      </c>
      <c r="F35" s="73">
        <f t="shared" si="22"/>
        <v>22.313364543635526</v>
      </c>
      <c r="G35" s="73">
        <f>E33*((1.025)^9)</f>
        <v>22.864227856050785</v>
      </c>
      <c r="H35" s="74">
        <f>H33*((1.025)^7)</f>
        <v>23.938751354342294</v>
      </c>
      <c r="I35" s="73">
        <f t="shared" si="23"/>
        <v>24.54470099799908</v>
      </c>
      <c r="J35" s="75">
        <f>H33*((1.025)^9)</f>
        <v>25.150650641655865</v>
      </c>
      <c r="K35" s="74">
        <f>K33*((1.025)^7)</f>
        <v>26.332626489776526</v>
      </c>
      <c r="L35" s="73">
        <f t="shared" si="24"/>
        <v>26.999171097798992</v>
      </c>
      <c r="M35" s="75">
        <f>K33*((1.025)^9)</f>
        <v>27.665715705821455</v>
      </c>
      <c r="N35" s="74" t="s">
        <v>346</v>
      </c>
      <c r="O35" s="73" t="s">
        <v>346</v>
      </c>
      <c r="P35" s="75" t="s">
        <v>346</v>
      </c>
      <c r="Q35" s="74" t="s">
        <v>346</v>
      </c>
      <c r="R35" s="73" t="s">
        <v>346</v>
      </c>
      <c r="S35" s="75" t="s">
        <v>346</v>
      </c>
      <c r="U35" s="1">
        <v>5</v>
      </c>
      <c r="V35" s="46">
        <f t="shared" si="15"/>
        <v>17.653861398088576</v>
      </c>
      <c r="W35" s="46">
        <f t="shared" si="16"/>
        <v>20.71386196903773</v>
      </c>
      <c r="X35" s="46">
        <f t="shared" si="17"/>
        <v>22.7852481659415</v>
      </c>
      <c r="Y35" s="46">
        <f t="shared" si="18"/>
        <v>25.063772982535657</v>
      </c>
      <c r="Z35" s="46" t="e">
        <f t="shared" si="20"/>
        <v>#VALUE!</v>
      </c>
      <c r="AA35" s="46" t="e">
        <f t="shared" si="20"/>
        <v>#VALUE!</v>
      </c>
    </row>
    <row r="36" spans="1:27" x14ac:dyDescent="0.2">
      <c r="A36" s="76" t="s">
        <v>145</v>
      </c>
      <c r="B36" s="73">
        <f>B33*((1.025)^10)</f>
        <v>19.97372377503018</v>
      </c>
      <c r="C36" s="73">
        <f t="shared" si="21"/>
        <v>20.479308658085628</v>
      </c>
      <c r="D36" s="75">
        <f>B33*((1.025)^12)</f>
        <v>20.98489354114108</v>
      </c>
      <c r="E36" s="73">
        <f>E33*((1.025)^10)</f>
        <v>23.435833552452056</v>
      </c>
      <c r="F36" s="73">
        <f t="shared" si="22"/>
        <v>24.029053089248499</v>
      </c>
      <c r="G36" s="73">
        <f>E33*((1.025)^12)</f>
        <v>24.622272626044939</v>
      </c>
      <c r="H36" s="74">
        <f>H33*((1.025)^10)</f>
        <v>25.779416907697261</v>
      </c>
      <c r="I36" s="73">
        <f t="shared" si="23"/>
        <v>26.431958398173347</v>
      </c>
      <c r="J36" s="75">
        <f>H33*((1.025)^12)</f>
        <v>27.084499888649432</v>
      </c>
      <c r="K36" s="74">
        <f>K33*((1.025)^10)</f>
        <v>28.357358598466991</v>
      </c>
      <c r="L36" s="73">
        <f t="shared" si="24"/>
        <v>29.075154237990688</v>
      </c>
      <c r="M36" s="75">
        <f>K33*((1.025)^12)</f>
        <v>29.792949877514381</v>
      </c>
      <c r="N36" s="74" t="s">
        <v>346</v>
      </c>
      <c r="O36" s="73" t="s">
        <v>346</v>
      </c>
      <c r="P36" s="75" t="s">
        <v>346</v>
      </c>
      <c r="Q36" s="74" t="s">
        <v>346</v>
      </c>
      <c r="R36" s="73" t="s">
        <v>346</v>
      </c>
      <c r="S36" s="75" t="s">
        <v>346</v>
      </c>
      <c r="T36" s="46"/>
      <c r="U36" s="1">
        <v>6</v>
      </c>
      <c r="V36" s="46">
        <f t="shared" si="15"/>
        <v>18.09520793304079</v>
      </c>
      <c r="W36" s="46">
        <f t="shared" si="16"/>
        <v>21.23170851826367</v>
      </c>
      <c r="X36" s="46">
        <f t="shared" si="17"/>
        <v>23.354879370090035</v>
      </c>
      <c r="Y36" s="46">
        <f t="shared" si="18"/>
        <v>25.690367307099045</v>
      </c>
      <c r="Z36" s="46" t="e">
        <f t="shared" si="20"/>
        <v>#VALUE!</v>
      </c>
      <c r="AA36" s="46" t="e">
        <f t="shared" si="20"/>
        <v>#VALUE!</v>
      </c>
    </row>
    <row r="37" spans="1:27" x14ac:dyDescent="0.2">
      <c r="A37" s="76" t="s">
        <v>146</v>
      </c>
      <c r="B37" s="73">
        <f>B33*((1.025)^13)</f>
        <v>21.509515879669607</v>
      </c>
      <c r="C37" s="73">
        <f t="shared" si="21"/>
        <v>22.053975500373745</v>
      </c>
      <c r="D37" s="73">
        <f>B33*((1.025)^15)</f>
        <v>22.59843512107788</v>
      </c>
      <c r="E37" s="74">
        <f>E33*((1.025)^13)</f>
        <v>25.237829441696061</v>
      </c>
      <c r="F37" s="73">
        <f t="shared" si="22"/>
        <v>25.876661999438994</v>
      </c>
      <c r="G37" s="75">
        <f>E33*((1.025)^15)</f>
        <v>26.515494557181928</v>
      </c>
      <c r="H37" s="73">
        <f>H33*((1.025)^13)</f>
        <v>27.761612385865668</v>
      </c>
      <c r="I37" s="73">
        <f t="shared" si="23"/>
        <v>28.464328199382891</v>
      </c>
      <c r="J37" s="75">
        <f>H33*((1.025)^15)</f>
        <v>29.167044012900117</v>
      </c>
      <c r="K37" s="74">
        <f>K33*((1.025)^13)</f>
        <v>30.537773624452239</v>
      </c>
      <c r="L37" s="73">
        <f t="shared" si="24"/>
        <v>31.310761019321184</v>
      </c>
      <c r="M37" s="75">
        <f>K33*((1.025)^15)</f>
        <v>32.083748414190133</v>
      </c>
      <c r="N37" s="74" t="s">
        <v>346</v>
      </c>
      <c r="O37" s="73" t="s">
        <v>346</v>
      </c>
      <c r="P37" s="75" t="s">
        <v>346</v>
      </c>
      <c r="Q37" s="74" t="s">
        <v>346</v>
      </c>
      <c r="R37" s="73" t="s">
        <v>346</v>
      </c>
      <c r="S37" s="75" t="s">
        <v>346</v>
      </c>
      <c r="U37" s="1">
        <v>7</v>
      </c>
      <c r="V37" s="46">
        <f t="shared" si="15"/>
        <v>18.547588131366808</v>
      </c>
      <c r="W37" s="46">
        <f t="shared" si="16"/>
        <v>21.762501231220259</v>
      </c>
      <c r="X37" s="46">
        <f t="shared" si="17"/>
        <v>23.938751354342283</v>
      </c>
      <c r="Y37" s="46">
        <f t="shared" si="18"/>
        <v>26.332626489776519</v>
      </c>
      <c r="Z37" s="46" t="e">
        <f t="shared" si="20"/>
        <v>#VALUE!</v>
      </c>
      <c r="AA37" s="46" t="e">
        <f t="shared" si="20"/>
        <v>#VALUE!</v>
      </c>
    </row>
    <row r="38" spans="1:27" x14ac:dyDescent="0.2">
      <c r="A38" s="76" t="s">
        <v>147</v>
      </c>
      <c r="B38" s="73">
        <f>B33*((1.025)^16)</f>
        <v>23.163395999104829</v>
      </c>
      <c r="C38" s="73">
        <f t="shared" si="21"/>
        <v>24.365725546784141</v>
      </c>
      <c r="D38" s="73">
        <f>B33*((1.025)^20)</f>
        <v>25.568055094463453</v>
      </c>
      <c r="E38" s="74">
        <f>E33*((1.025)^16)</f>
        <v>27.178381921111473</v>
      </c>
      <c r="F38" s="73">
        <f t="shared" si="22"/>
        <v>28.589115115981883</v>
      </c>
      <c r="G38" s="75">
        <f>E33*((1.025)^20)</f>
        <v>29.99984831085229</v>
      </c>
      <c r="H38" s="74">
        <f>H33*((1.025)^16)</f>
        <v>29.896220113222618</v>
      </c>
      <c r="I38" s="73">
        <f t="shared" si="23"/>
        <v>31.448026627580067</v>
      </c>
      <c r="J38" s="75">
        <f>H33*((1.025)^20)</f>
        <v>32.999833141937515</v>
      </c>
      <c r="K38" s="73">
        <f>K33*((1.025)^16)</f>
        <v>32.885842124544887</v>
      </c>
      <c r="L38" s="73">
        <f t="shared" si="24"/>
        <v>34.592829290338081</v>
      </c>
      <c r="M38" s="75">
        <f>K33*((1.025)^20)</f>
        <v>36.299816456131275</v>
      </c>
      <c r="N38" s="73" t="s">
        <v>346</v>
      </c>
      <c r="O38" s="73" t="s">
        <v>346</v>
      </c>
      <c r="P38" s="73" t="s">
        <v>346</v>
      </c>
      <c r="Q38" s="74" t="s">
        <v>346</v>
      </c>
      <c r="R38" s="73" t="s">
        <v>346</v>
      </c>
      <c r="S38" s="75" t="s">
        <v>346</v>
      </c>
      <c r="U38" s="1">
        <v>8</v>
      </c>
      <c r="V38" s="46">
        <f t="shared" si="15"/>
        <v>19.011277834650976</v>
      </c>
      <c r="W38" s="46">
        <f t="shared" si="16"/>
        <v>22.306563762000764</v>
      </c>
      <c r="X38" s="46">
        <f t="shared" si="17"/>
        <v>24.537220138200837</v>
      </c>
      <c r="Y38" s="46">
        <f t="shared" si="18"/>
        <v>26.990942152020931</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19.486559780517247</v>
      </c>
      <c r="W39" s="46">
        <f t="shared" si="16"/>
        <v>22.864227856050782</v>
      </c>
      <c r="X39" s="46">
        <f t="shared" si="17"/>
        <v>25.150650641655854</v>
      </c>
      <c r="Y39" s="46">
        <f t="shared" si="18"/>
        <v>27.665715705821452</v>
      </c>
      <c r="Z39" s="46" t="e">
        <f t="shared" ref="Z39:AA39" si="25">Z38+0.15</f>
        <v>#VALUE!</v>
      </c>
      <c r="AA39" s="46" t="e">
        <f t="shared" si="25"/>
        <v>#VALUE!</v>
      </c>
    </row>
    <row r="40" spans="1:27" x14ac:dyDescent="0.2">
      <c r="O40" s="40"/>
      <c r="P40" s="1"/>
      <c r="U40" s="1">
        <v>10</v>
      </c>
      <c r="V40" s="46">
        <f t="shared" si="15"/>
        <v>19.973723775030177</v>
      </c>
      <c r="W40" s="46">
        <f t="shared" si="16"/>
        <v>23.435833552452049</v>
      </c>
      <c r="X40" s="46">
        <f t="shared" si="17"/>
        <v>25.77941690769725</v>
      </c>
      <c r="Y40" s="46">
        <f t="shared" si="18"/>
        <v>28.357358598466984</v>
      </c>
      <c r="Z40" s="46" t="e">
        <f t="shared" ref="Z40:AA50" si="26">Z39+0.15</f>
        <v>#VALUE!</v>
      </c>
      <c r="AA40" s="46" t="e">
        <f t="shared" si="26"/>
        <v>#VALUE!</v>
      </c>
    </row>
    <row r="41" spans="1:27" x14ac:dyDescent="0.2">
      <c r="U41" s="1">
        <v>11</v>
      </c>
      <c r="V41" s="46">
        <f t="shared" si="15"/>
        <v>20.47306686940593</v>
      </c>
      <c r="W41" s="46">
        <f t="shared" si="16"/>
        <v>24.021729391263349</v>
      </c>
      <c r="X41" s="46">
        <f t="shared" si="17"/>
        <v>26.42390233038968</v>
      </c>
      <c r="Y41" s="46">
        <f t="shared" si="18"/>
        <v>29.066292563428657</v>
      </c>
      <c r="Z41" s="46" t="e">
        <f t="shared" si="26"/>
        <v>#VALUE!</v>
      </c>
      <c r="AA41" s="46" t="e">
        <f t="shared" si="26"/>
        <v>#VALUE!</v>
      </c>
    </row>
    <row r="42" spans="1:27" x14ac:dyDescent="0.2">
      <c r="U42" s="1">
        <v>12</v>
      </c>
      <c r="V42" s="46">
        <f t="shared" si="15"/>
        <v>20.984893541141076</v>
      </c>
      <c r="W42" s="46">
        <f t="shared" si="16"/>
        <v>24.622272626044932</v>
      </c>
      <c r="X42" s="46">
        <f t="shared" si="17"/>
        <v>27.084499888649418</v>
      </c>
      <c r="Y42" s="46">
        <f t="shared" si="18"/>
        <v>29.792949877514371</v>
      </c>
      <c r="Z42" s="46" t="e">
        <f t="shared" si="26"/>
        <v>#VALUE!</v>
      </c>
      <c r="AA42" s="46" t="e">
        <f t="shared" si="26"/>
        <v>#VALUE!</v>
      </c>
    </row>
    <row r="43" spans="1:27" x14ac:dyDescent="0.2">
      <c r="D43" s="83"/>
      <c r="U43" s="1">
        <v>13</v>
      </c>
      <c r="V43" s="46">
        <f t="shared" si="15"/>
        <v>21.5095158796696</v>
      </c>
      <c r="W43" s="46">
        <f t="shared" si="16"/>
        <v>25.237829441696054</v>
      </c>
      <c r="X43" s="46">
        <f t="shared" si="17"/>
        <v>27.76161238586565</v>
      </c>
      <c r="Y43" s="46">
        <f t="shared" si="18"/>
        <v>30.537773624452228</v>
      </c>
      <c r="Z43" s="46" t="e">
        <f t="shared" si="26"/>
        <v>#VALUE!</v>
      </c>
      <c r="AA43" s="46" t="e">
        <f t="shared" si="26"/>
        <v>#VALUE!</v>
      </c>
    </row>
    <row r="44" spans="1:27" x14ac:dyDescent="0.2">
      <c r="D44" s="83"/>
      <c r="G44" s="35"/>
      <c r="U44" s="1">
        <v>14</v>
      </c>
      <c r="V44" s="46">
        <f t="shared" si="15"/>
        <v>22.047253776661339</v>
      </c>
      <c r="W44" s="46">
        <f t="shared" si="16"/>
        <v>25.868775177738453</v>
      </c>
      <c r="X44" s="46">
        <f t="shared" si="17"/>
        <v>28.455652695512288</v>
      </c>
      <c r="Y44" s="46">
        <f t="shared" si="18"/>
        <v>31.301217965063532</v>
      </c>
      <c r="Z44" s="46" t="e">
        <f t="shared" si="26"/>
        <v>#VALUE!</v>
      </c>
      <c r="AA44" s="46" t="e">
        <f t="shared" si="26"/>
        <v>#VALUE!</v>
      </c>
    </row>
    <row r="45" spans="1:27" x14ac:dyDescent="0.2">
      <c r="D45" s="83"/>
      <c r="U45" s="1">
        <v>15</v>
      </c>
      <c r="V45" s="46">
        <f t="shared" si="15"/>
        <v>22.59843512107787</v>
      </c>
      <c r="W45" s="46">
        <f t="shared" si="16"/>
        <v>26.515494557181913</v>
      </c>
      <c r="X45" s="46">
        <f t="shared" si="17"/>
        <v>29.167044012900092</v>
      </c>
      <c r="Y45" s="46">
        <f t="shared" si="18"/>
        <v>32.083748414190119</v>
      </c>
      <c r="Z45" s="46" t="e">
        <f t="shared" si="26"/>
        <v>#VALUE!</v>
      </c>
      <c r="AA45" s="46" t="e">
        <f t="shared" si="26"/>
        <v>#VALUE!</v>
      </c>
    </row>
    <row r="46" spans="1:27" x14ac:dyDescent="0.2">
      <c r="U46" s="1">
        <v>16</v>
      </c>
      <c r="V46" s="46">
        <f t="shared" si="15"/>
        <v>23.163395999104814</v>
      </c>
      <c r="W46" s="46">
        <f t="shared" si="16"/>
        <v>27.178381921111459</v>
      </c>
      <c r="X46" s="46">
        <f t="shared" si="17"/>
        <v>29.896220113222594</v>
      </c>
      <c r="Y46" s="46">
        <f t="shared" si="18"/>
        <v>32.885842124544865</v>
      </c>
      <c r="Z46" s="46" t="e">
        <f t="shared" si="26"/>
        <v>#VALUE!</v>
      </c>
      <c r="AA46" s="46" t="e">
        <f t="shared" si="26"/>
        <v>#VALUE!</v>
      </c>
    </row>
    <row r="47" spans="1:27" x14ac:dyDescent="0.2">
      <c r="U47" s="1">
        <v>17</v>
      </c>
      <c r="V47" s="46">
        <f t="shared" si="15"/>
        <v>23.742480899082434</v>
      </c>
      <c r="W47" s="46">
        <f t="shared" si="16"/>
        <v>27.857841469139242</v>
      </c>
      <c r="X47" s="46">
        <f t="shared" si="17"/>
        <v>30.643625616053157</v>
      </c>
      <c r="Y47" s="46">
        <f t="shared" si="18"/>
        <v>33.707988177658486</v>
      </c>
      <c r="Z47" s="46" t="e">
        <f t="shared" si="26"/>
        <v>#VALUE!</v>
      </c>
      <c r="AA47" s="46" t="e">
        <f t="shared" si="26"/>
        <v>#VALUE!</v>
      </c>
    </row>
    <row r="48" spans="1:27" x14ac:dyDescent="0.2">
      <c r="U48" s="1">
        <v>18</v>
      </c>
      <c r="V48" s="46">
        <f t="shared" si="15"/>
        <v>24.336042921559493</v>
      </c>
      <c r="W48" s="46">
        <f t="shared" si="16"/>
        <v>28.55428750586772</v>
      </c>
      <c r="X48" s="46">
        <f t="shared" si="17"/>
        <v>31.409716256454484</v>
      </c>
      <c r="Y48" s="46">
        <f t="shared" si="18"/>
        <v>34.550687882099943</v>
      </c>
      <c r="Z48" s="46" t="e">
        <f t="shared" si="26"/>
        <v>#VALUE!</v>
      </c>
      <c r="AA48" s="46" t="e">
        <f t="shared" si="26"/>
        <v>#VALUE!</v>
      </c>
    </row>
    <row r="49" spans="21:27" x14ac:dyDescent="0.2">
      <c r="U49" s="1">
        <v>19</v>
      </c>
      <c r="V49" s="46">
        <f t="shared" si="15"/>
        <v>24.944443994598476</v>
      </c>
      <c r="W49" s="46">
        <f t="shared" si="16"/>
        <v>29.268144693514412</v>
      </c>
      <c r="X49" s="46">
        <f t="shared" si="17"/>
        <v>32.194959162865842</v>
      </c>
      <c r="Y49" s="46">
        <f t="shared" si="18"/>
        <v>35.41445507915244</v>
      </c>
      <c r="Z49" s="46" t="e">
        <f t="shared" si="26"/>
        <v>#VALUE!</v>
      </c>
      <c r="AA49" s="46" t="e">
        <f t="shared" si="26"/>
        <v>#VALUE!</v>
      </c>
    </row>
    <row r="50" spans="21:27" x14ac:dyDescent="0.2">
      <c r="U50" s="1">
        <v>20</v>
      </c>
      <c r="V50" s="46">
        <f t="shared" si="15"/>
        <v>25.568055094463435</v>
      </c>
      <c r="W50" s="46">
        <f t="shared" si="16"/>
        <v>29.999848310852268</v>
      </c>
      <c r="X50" s="46">
        <f t="shared" si="17"/>
        <v>32.999833141937486</v>
      </c>
      <c r="Y50" s="46">
        <f t="shared" si="18"/>
        <v>36.299816456131246</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I34" sqref="I3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9" t="s">
        <v>349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26" ht="15.75" x14ac:dyDescent="0.25">
      <c r="A2" s="222" t="s">
        <v>381</v>
      </c>
    </row>
    <row r="3" spans="1:26" x14ac:dyDescent="0.25">
      <c r="A3" s="12">
        <v>161</v>
      </c>
    </row>
    <row r="4" spans="1:26" ht="20.25" x14ac:dyDescent="0.3">
      <c r="A4" s="171"/>
      <c r="B4" s="171"/>
      <c r="C4" s="171"/>
      <c r="D4" s="171"/>
      <c r="E4" s="171"/>
      <c r="F4" s="171"/>
      <c r="G4" s="171"/>
      <c r="H4" s="171"/>
      <c r="I4" s="171"/>
      <c r="J4" s="171"/>
      <c r="K4" s="171"/>
      <c r="L4" s="171"/>
      <c r="M4" s="171"/>
      <c r="N4" s="171"/>
      <c r="O4" s="171"/>
    </row>
    <row r="5" spans="1:26" ht="15.75" x14ac:dyDescent="0.25">
      <c r="A5" s="314" t="s">
        <v>152</v>
      </c>
      <c r="B5" s="314"/>
      <c r="C5" s="314"/>
      <c r="E5" s="314" t="s">
        <v>153</v>
      </c>
      <c r="F5" s="314"/>
      <c r="G5" s="314"/>
      <c r="I5" s="314" t="s">
        <v>154</v>
      </c>
      <c r="J5" s="314"/>
      <c r="K5" s="314"/>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1</v>
      </c>
      <c r="C7" s="19">
        <f>B7/A3</f>
        <v>6.2111801242236021E-3</v>
      </c>
      <c r="E7" s="23" t="s">
        <v>162</v>
      </c>
      <c r="F7" s="18"/>
      <c r="G7" s="19">
        <v>0.02</v>
      </c>
      <c r="I7" s="23" t="s">
        <v>163</v>
      </c>
      <c r="J7" s="18">
        <v>131</v>
      </c>
      <c r="K7" s="19">
        <f>J7/A3</f>
        <v>0.81366459627329191</v>
      </c>
      <c r="M7" s="23" t="s">
        <v>164</v>
      </c>
      <c r="N7" s="18">
        <v>43</v>
      </c>
      <c r="O7" s="19">
        <f>N7/A3</f>
        <v>0.26708074534161491</v>
      </c>
    </row>
    <row r="8" spans="1:26" x14ac:dyDescent="0.25">
      <c r="A8" s="20" t="s">
        <v>165</v>
      </c>
      <c r="B8" s="21">
        <v>16</v>
      </c>
      <c r="C8" s="22">
        <f>B8/A3</f>
        <v>9.9378881987577633E-2</v>
      </c>
      <c r="E8" s="24" t="s">
        <v>166</v>
      </c>
      <c r="F8" s="21"/>
      <c r="G8" s="19">
        <v>0.109</v>
      </c>
      <c r="I8" s="24" t="s">
        <v>167</v>
      </c>
      <c r="J8" s="21">
        <v>15</v>
      </c>
      <c r="K8" s="19">
        <f>J8/A3</f>
        <v>9.3167701863354033E-2</v>
      </c>
      <c r="M8" s="24" t="s">
        <v>168</v>
      </c>
      <c r="N8" s="21">
        <v>118</v>
      </c>
      <c r="O8" s="22">
        <f>N8/A3</f>
        <v>0.73291925465838514</v>
      </c>
    </row>
    <row r="9" spans="1:26" x14ac:dyDescent="0.25">
      <c r="A9" s="20" t="s">
        <v>169</v>
      </c>
      <c r="B9" s="21">
        <v>31</v>
      </c>
      <c r="C9" s="22">
        <f>B9/A3</f>
        <v>0.19254658385093168</v>
      </c>
      <c r="E9" s="24" t="s">
        <v>170</v>
      </c>
      <c r="F9" s="21"/>
      <c r="G9" s="19">
        <v>0.17699999999999999</v>
      </c>
      <c r="I9" s="24" t="s">
        <v>171</v>
      </c>
      <c r="J9" s="21">
        <v>6</v>
      </c>
      <c r="K9" s="19">
        <f>J9/A3</f>
        <v>3.7267080745341616E-2</v>
      </c>
    </row>
    <row r="10" spans="1:26" x14ac:dyDescent="0.25">
      <c r="A10" s="20" t="s">
        <v>172</v>
      </c>
      <c r="B10" s="21">
        <v>38</v>
      </c>
      <c r="C10" s="22">
        <f>B10/A3</f>
        <v>0.2360248447204969</v>
      </c>
      <c r="E10" s="24" t="s">
        <v>173</v>
      </c>
      <c r="F10" s="21"/>
      <c r="G10" s="19">
        <v>8.5999999999999993E-2</v>
      </c>
      <c r="I10" s="24" t="s">
        <v>174</v>
      </c>
      <c r="J10" s="21">
        <v>5</v>
      </c>
      <c r="K10" s="19">
        <f>J10/A3</f>
        <v>3.1055900621118012E-2</v>
      </c>
    </row>
    <row r="11" spans="1:26" x14ac:dyDescent="0.25">
      <c r="A11" s="20" t="s">
        <v>175</v>
      </c>
      <c r="B11" s="21">
        <v>36</v>
      </c>
      <c r="C11" s="22">
        <f>B11/A3</f>
        <v>0.2236024844720497</v>
      </c>
      <c r="E11" s="24" t="s">
        <v>176</v>
      </c>
      <c r="F11" s="21"/>
      <c r="G11" s="19">
        <v>0.36</v>
      </c>
      <c r="I11" s="24" t="s">
        <v>177</v>
      </c>
      <c r="J11" s="21">
        <v>3</v>
      </c>
      <c r="K11" s="19">
        <f>J11/A3</f>
        <v>1.8633540372670808E-2</v>
      </c>
    </row>
    <row r="12" spans="1:26" x14ac:dyDescent="0.25">
      <c r="A12" s="20" t="s">
        <v>178</v>
      </c>
      <c r="B12" s="21">
        <v>26</v>
      </c>
      <c r="C12" s="22">
        <f>B12/A3</f>
        <v>0.16149068322981366</v>
      </c>
      <c r="E12" s="24" t="s">
        <v>179</v>
      </c>
      <c r="F12" s="21"/>
      <c r="G12" s="19">
        <v>0.20200000000000001</v>
      </c>
      <c r="I12" s="24" t="s">
        <v>180</v>
      </c>
      <c r="J12" s="21">
        <v>0</v>
      </c>
      <c r="K12" s="19">
        <f>J12/A3</f>
        <v>0</v>
      </c>
    </row>
    <row r="13" spans="1:26" x14ac:dyDescent="0.25">
      <c r="A13" s="20" t="s">
        <v>181</v>
      </c>
      <c r="B13" s="21">
        <v>13</v>
      </c>
      <c r="C13" s="22">
        <f>B13/A3</f>
        <v>8.0745341614906832E-2</v>
      </c>
      <c r="E13" s="24" t="s">
        <v>182</v>
      </c>
      <c r="F13" s="21"/>
      <c r="G13" s="19">
        <v>4.5999999999999999E-2</v>
      </c>
      <c r="I13" s="24" t="s">
        <v>183</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zoomScaleNormal="100" workbookViewId="0">
      <selection activeCell="V43" sqref="V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9" t="s">
        <v>350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4" spans="1:26" ht="18.75" x14ac:dyDescent="0.3">
      <c r="A4" s="318" t="s">
        <v>351</v>
      </c>
      <c r="B4" s="318"/>
      <c r="C4" s="318"/>
      <c r="D4" s="318"/>
      <c r="E4" s="318"/>
      <c r="F4" s="318"/>
      <c r="G4" s="318"/>
      <c r="H4" s="318"/>
    </row>
    <row r="5" spans="1:26" ht="36" customHeight="1" x14ac:dyDescent="0.25">
      <c r="A5" s="316" t="s">
        <v>186</v>
      </c>
      <c r="B5" s="317" t="s">
        <v>187</v>
      </c>
      <c r="C5" s="317" t="s">
        <v>188</v>
      </c>
      <c r="D5" s="317" t="s">
        <v>352</v>
      </c>
      <c r="E5" s="317" t="s">
        <v>190</v>
      </c>
      <c r="F5" s="317"/>
      <c r="G5" s="317" t="s">
        <v>191</v>
      </c>
      <c r="H5" s="317"/>
      <c r="P5"/>
      <c r="R5" s="10"/>
    </row>
    <row r="6" spans="1:26" ht="15.75" thickBot="1" x14ac:dyDescent="0.3">
      <c r="A6" s="316"/>
      <c r="B6" s="317"/>
      <c r="C6" s="317"/>
      <c r="D6" s="319"/>
      <c r="E6" s="163" t="s">
        <v>192</v>
      </c>
      <c r="F6" s="163" t="s">
        <v>193</v>
      </c>
      <c r="G6" s="163" t="s">
        <v>192</v>
      </c>
      <c r="H6" s="163" t="s">
        <v>193</v>
      </c>
      <c r="P6"/>
      <c r="R6" s="10"/>
    </row>
    <row r="7" spans="1:26" ht="15.75" thickBot="1" x14ac:dyDescent="0.3">
      <c r="A7" s="195" t="s">
        <v>353</v>
      </c>
      <c r="B7" s="196">
        <v>1</v>
      </c>
      <c r="C7" s="197">
        <f>'1A'!B14</f>
        <v>15.79</v>
      </c>
      <c r="D7" s="198" t="s">
        <v>57</v>
      </c>
      <c r="E7" s="199">
        <f t="shared" ref="E7:E12" si="0">W19-B19</f>
        <v>-188</v>
      </c>
      <c r="F7" s="200">
        <f t="shared" ref="F7" si="1">W29</f>
        <v>-0.5386819484240688</v>
      </c>
      <c r="G7" s="201">
        <f t="shared" ref="G7:G12" si="2">S38-B38</f>
        <v>1.1999999999999993</v>
      </c>
      <c r="H7" s="202">
        <f t="shared" ref="H7" si="3">S48</f>
        <v>8.2248115147361162E-2</v>
      </c>
      <c r="P7"/>
      <c r="R7" s="10"/>
    </row>
    <row r="8" spans="1:26" ht="15.75" thickTop="1" x14ac:dyDescent="0.25">
      <c r="A8" s="178" t="s">
        <v>195</v>
      </c>
      <c r="B8" s="164">
        <v>0.96</v>
      </c>
      <c r="C8" s="185">
        <f>S39</f>
        <v>28.64</v>
      </c>
      <c r="D8" s="187">
        <f>C8-C7</f>
        <v>12.850000000000001</v>
      </c>
      <c r="E8" s="174">
        <f t="shared" si="0"/>
        <v>-45</v>
      </c>
      <c r="F8" s="173">
        <f>W30</f>
        <v>-0.46875</v>
      </c>
      <c r="G8" s="175">
        <f t="shared" si="2"/>
        <v>5.2899999999999991</v>
      </c>
      <c r="H8" s="177">
        <f>S49</f>
        <v>0.22655246252676656</v>
      </c>
      <c r="P8"/>
      <c r="R8" s="10"/>
    </row>
    <row r="9" spans="1:26" x14ac:dyDescent="0.25">
      <c r="A9" s="178" t="s">
        <v>196</v>
      </c>
      <c r="B9" s="164">
        <v>0.96</v>
      </c>
      <c r="C9" s="185">
        <f t="shared" ref="C9:C12" si="4">S40</f>
        <v>17.27</v>
      </c>
      <c r="D9" s="187">
        <f>C9-C7</f>
        <v>1.4800000000000004</v>
      </c>
      <c r="E9" s="174">
        <f t="shared" si="0"/>
        <v>3</v>
      </c>
      <c r="F9" s="173">
        <f>W31</f>
        <v>1.8867924528301886E-2</v>
      </c>
      <c r="G9" s="175">
        <f t="shared" si="2"/>
        <v>1.5199999999999996</v>
      </c>
      <c r="H9" s="177">
        <f>S50</f>
        <v>9.6507936507936487E-2</v>
      </c>
      <c r="P9"/>
      <c r="R9" s="10"/>
    </row>
    <row r="10" spans="1:26" x14ac:dyDescent="0.25">
      <c r="A10" s="178" t="s">
        <v>268</v>
      </c>
      <c r="B10" s="164">
        <v>0.95</v>
      </c>
      <c r="C10" s="185">
        <f t="shared" si="4"/>
        <v>14.35</v>
      </c>
      <c r="D10" s="217">
        <f>C10-C7</f>
        <v>-1.4399999999999995</v>
      </c>
      <c r="E10" s="174">
        <f t="shared" si="0"/>
        <v>24</v>
      </c>
      <c r="F10" s="173">
        <f>W32</f>
        <v>0.31168831168831168</v>
      </c>
      <c r="G10" s="175">
        <f t="shared" si="2"/>
        <v>-0.39000000000000057</v>
      </c>
      <c r="H10" s="177">
        <f>S51</f>
        <v>-2.6458616010854856E-2</v>
      </c>
      <c r="P10"/>
      <c r="R10" s="10"/>
    </row>
    <row r="11" spans="1:26" x14ac:dyDescent="0.25">
      <c r="A11" s="178" t="s">
        <v>269</v>
      </c>
      <c r="B11" s="164">
        <v>0.92</v>
      </c>
      <c r="C11" s="185">
        <f t="shared" si="4"/>
        <v>17.940000000000001</v>
      </c>
      <c r="D11" s="187">
        <f>C11-C7</f>
        <v>2.1500000000000021</v>
      </c>
      <c r="E11" s="174">
        <f t="shared" si="0"/>
        <v>-580</v>
      </c>
      <c r="F11" s="173">
        <f>W33</f>
        <v>-0.30082987551867219</v>
      </c>
      <c r="G11" s="175">
        <f t="shared" si="2"/>
        <v>4.8400000000000016</v>
      </c>
      <c r="H11" s="177">
        <f>S52</f>
        <v>0.36946564885496197</v>
      </c>
      <c r="P11"/>
      <c r="R11" s="10"/>
    </row>
    <row r="12" spans="1:26" ht="15.75" thickBot="1" x14ac:dyDescent="0.3">
      <c r="A12" s="179" t="s">
        <v>270</v>
      </c>
      <c r="B12" s="180">
        <v>0.92</v>
      </c>
      <c r="C12" s="186">
        <f t="shared" si="4"/>
        <v>16.77</v>
      </c>
      <c r="D12" s="188">
        <f>C12-C7</f>
        <v>0.98000000000000043</v>
      </c>
      <c r="E12" s="181">
        <f t="shared" si="0"/>
        <v>238</v>
      </c>
      <c r="F12" s="182">
        <f>W34</f>
        <v>0.21193232413178986</v>
      </c>
      <c r="G12" s="183">
        <f t="shared" si="2"/>
        <v>3.74</v>
      </c>
      <c r="H12" s="184">
        <f>S53</f>
        <v>0.28702993092862628</v>
      </c>
      <c r="P12"/>
      <c r="R12" s="10"/>
    </row>
    <row r="13" spans="1:26" x14ac:dyDescent="0.25">
      <c r="A13" s="1"/>
      <c r="B13" s="35"/>
      <c r="C13" s="36"/>
      <c r="D13" s="36"/>
    </row>
    <row r="14" spans="1:26" x14ac:dyDescent="0.25">
      <c r="C14" s="221"/>
      <c r="G14" s="215"/>
    </row>
    <row r="17" spans="1:26" ht="15.75" x14ac:dyDescent="0.25">
      <c r="A17" s="315" t="s">
        <v>354</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353</v>
      </c>
      <c r="B19" s="166">
        <v>349</v>
      </c>
      <c r="C19" s="166">
        <v>395</v>
      </c>
      <c r="D19" s="166">
        <v>434</v>
      </c>
      <c r="E19" s="166">
        <v>455</v>
      </c>
      <c r="F19" s="166">
        <v>491</v>
      </c>
      <c r="G19" s="166">
        <v>499</v>
      </c>
      <c r="H19" s="166">
        <v>478</v>
      </c>
      <c r="I19" s="166">
        <v>511</v>
      </c>
      <c r="J19" s="166">
        <v>567</v>
      </c>
      <c r="K19" s="166">
        <v>612</v>
      </c>
      <c r="L19" s="166">
        <v>655</v>
      </c>
      <c r="M19" s="166">
        <v>728</v>
      </c>
      <c r="N19" s="166">
        <v>738</v>
      </c>
      <c r="O19" s="166">
        <v>472</v>
      </c>
      <c r="P19" s="166">
        <v>467</v>
      </c>
      <c r="Q19" s="166">
        <v>273</v>
      </c>
      <c r="R19" s="166">
        <v>287</v>
      </c>
      <c r="S19" s="166">
        <v>282</v>
      </c>
      <c r="T19" s="166">
        <v>163</v>
      </c>
      <c r="U19" s="166">
        <v>126</v>
      </c>
      <c r="V19" s="166">
        <v>120</v>
      </c>
      <c r="W19" s="166">
        <v>161</v>
      </c>
    </row>
    <row r="20" spans="1:26" ht="15.75" thickTop="1" x14ac:dyDescent="0.25">
      <c r="A20" s="143" t="s">
        <v>195</v>
      </c>
      <c r="B20" s="146">
        <v>96</v>
      </c>
      <c r="C20" s="146">
        <v>98</v>
      </c>
      <c r="D20" s="146">
        <v>88</v>
      </c>
      <c r="E20" s="146">
        <v>84</v>
      </c>
      <c r="F20" s="146">
        <v>86</v>
      </c>
      <c r="G20" s="146">
        <v>51</v>
      </c>
      <c r="H20" s="146">
        <v>52</v>
      </c>
      <c r="I20" s="146">
        <v>61</v>
      </c>
      <c r="J20" s="146">
        <v>69</v>
      </c>
      <c r="K20" s="146">
        <v>75</v>
      </c>
      <c r="L20" s="146">
        <v>70</v>
      </c>
      <c r="M20" s="146">
        <v>71</v>
      </c>
      <c r="N20" s="146">
        <v>75</v>
      </c>
      <c r="O20" s="146">
        <v>79</v>
      </c>
      <c r="P20" s="146">
        <v>75</v>
      </c>
      <c r="Q20" s="146">
        <v>66</v>
      </c>
      <c r="R20" s="146">
        <v>55</v>
      </c>
      <c r="S20" s="146">
        <v>46</v>
      </c>
      <c r="T20" s="146">
        <v>49</v>
      </c>
      <c r="U20" s="146">
        <v>48</v>
      </c>
      <c r="V20" s="146">
        <v>48</v>
      </c>
      <c r="W20" s="146">
        <v>51</v>
      </c>
    </row>
    <row r="21" spans="1:26" x14ac:dyDescent="0.25">
      <c r="A21" s="143" t="s">
        <v>196</v>
      </c>
      <c r="B21" s="144">
        <v>159</v>
      </c>
      <c r="C21" s="144">
        <v>165</v>
      </c>
      <c r="D21" s="144">
        <v>176</v>
      </c>
      <c r="E21" s="144">
        <v>176</v>
      </c>
      <c r="F21" s="144">
        <v>193</v>
      </c>
      <c r="G21" s="144">
        <v>194</v>
      </c>
      <c r="H21" s="144">
        <v>179</v>
      </c>
      <c r="I21" s="144">
        <v>173</v>
      </c>
      <c r="J21" s="144">
        <v>174</v>
      </c>
      <c r="K21" s="144">
        <v>183</v>
      </c>
      <c r="L21" s="144">
        <v>188</v>
      </c>
      <c r="M21" s="144">
        <v>191</v>
      </c>
      <c r="N21" s="144">
        <v>192</v>
      </c>
      <c r="O21" s="144">
        <v>193</v>
      </c>
      <c r="P21" s="144">
        <v>193</v>
      </c>
      <c r="Q21" s="144">
        <v>210</v>
      </c>
      <c r="R21" s="144">
        <v>223</v>
      </c>
      <c r="S21" s="144">
        <v>228</v>
      </c>
      <c r="T21" s="144">
        <v>235</v>
      </c>
      <c r="U21" s="144">
        <v>187</v>
      </c>
      <c r="V21" s="144">
        <v>154</v>
      </c>
      <c r="W21" s="144">
        <v>162</v>
      </c>
    </row>
    <row r="22" spans="1:26" x14ac:dyDescent="0.25">
      <c r="A22" s="143" t="s">
        <v>268</v>
      </c>
      <c r="B22" s="144">
        <v>77</v>
      </c>
      <c r="C22" s="144">
        <v>76</v>
      </c>
      <c r="D22" s="144">
        <v>86</v>
      </c>
      <c r="E22" s="144">
        <v>92</v>
      </c>
      <c r="F22" s="144">
        <v>96</v>
      </c>
      <c r="G22" s="144">
        <v>105</v>
      </c>
      <c r="H22" s="144">
        <v>107</v>
      </c>
      <c r="I22" s="144">
        <v>110</v>
      </c>
      <c r="J22" s="144">
        <v>98</v>
      </c>
      <c r="K22" s="144">
        <v>87</v>
      </c>
      <c r="L22" s="144">
        <v>93</v>
      </c>
      <c r="M22" s="144">
        <v>88</v>
      </c>
      <c r="N22" s="144">
        <v>86</v>
      </c>
      <c r="O22" s="144">
        <v>85</v>
      </c>
      <c r="P22" s="144">
        <v>84</v>
      </c>
      <c r="Q22" s="144">
        <v>87</v>
      </c>
      <c r="R22" s="144">
        <v>90</v>
      </c>
      <c r="S22" s="144">
        <v>99</v>
      </c>
      <c r="T22" s="144">
        <v>104</v>
      </c>
      <c r="U22" s="144">
        <v>100</v>
      </c>
      <c r="V22" s="144">
        <v>102</v>
      </c>
      <c r="W22" s="144">
        <v>101</v>
      </c>
    </row>
    <row r="23" spans="1:26" x14ac:dyDescent="0.25">
      <c r="A23" s="178" t="s">
        <v>269</v>
      </c>
      <c r="B23" s="146">
        <v>1928</v>
      </c>
      <c r="C23" s="146">
        <v>1962</v>
      </c>
      <c r="D23" s="146">
        <v>2002</v>
      </c>
      <c r="E23" s="146">
        <v>2027</v>
      </c>
      <c r="F23" s="146">
        <v>2078</v>
      </c>
      <c r="G23" s="146">
        <v>2006</v>
      </c>
      <c r="H23" s="146">
        <v>1923</v>
      </c>
      <c r="I23" s="146">
        <v>1891</v>
      </c>
      <c r="J23" s="146">
        <v>1833</v>
      </c>
      <c r="K23" s="146">
        <v>1939</v>
      </c>
      <c r="L23" s="146">
        <v>1999</v>
      </c>
      <c r="M23" s="146">
        <v>2108</v>
      </c>
      <c r="N23" s="146">
        <v>2127</v>
      </c>
      <c r="O23" s="146">
        <v>2154</v>
      </c>
      <c r="P23" s="146">
        <v>2168</v>
      </c>
      <c r="Q23" s="146">
        <v>2164</v>
      </c>
      <c r="R23" s="146">
        <v>2032</v>
      </c>
      <c r="S23" s="146">
        <v>1862</v>
      </c>
      <c r="T23" s="146">
        <v>1602</v>
      </c>
      <c r="U23" s="146">
        <v>1405</v>
      </c>
      <c r="V23" s="146">
        <v>1363</v>
      </c>
      <c r="W23" s="146">
        <v>1348</v>
      </c>
    </row>
    <row r="24" spans="1:26" x14ac:dyDescent="0.25">
      <c r="A24" s="143" t="s">
        <v>270</v>
      </c>
      <c r="B24" s="146">
        <v>1123</v>
      </c>
      <c r="C24" s="146">
        <v>1126</v>
      </c>
      <c r="D24" s="146">
        <v>1155</v>
      </c>
      <c r="E24" s="146">
        <v>1168</v>
      </c>
      <c r="F24" s="146">
        <v>1176</v>
      </c>
      <c r="G24" s="146">
        <v>1217</v>
      </c>
      <c r="H24" s="146">
        <v>1209</v>
      </c>
      <c r="I24" s="146">
        <v>1193</v>
      </c>
      <c r="J24" s="146">
        <v>1117</v>
      </c>
      <c r="K24" s="146">
        <v>1184</v>
      </c>
      <c r="L24" s="146">
        <v>1211</v>
      </c>
      <c r="M24" s="146">
        <v>1287</v>
      </c>
      <c r="N24" s="146">
        <v>1308</v>
      </c>
      <c r="O24" s="146">
        <v>1320</v>
      </c>
      <c r="P24" s="146">
        <v>1277</v>
      </c>
      <c r="Q24" s="146">
        <v>1297</v>
      </c>
      <c r="R24" s="146">
        <v>1284</v>
      </c>
      <c r="S24" s="146">
        <v>1334</v>
      </c>
      <c r="T24" s="146">
        <v>1387</v>
      </c>
      <c r="U24" s="146">
        <v>1373</v>
      </c>
      <c r="V24" s="146">
        <v>1399</v>
      </c>
      <c r="W24" s="146">
        <v>1361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355</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353</v>
      </c>
      <c r="B29" s="167">
        <f t="shared" ref="B29:B34" si="5">(B19-B19)/B19</f>
        <v>0</v>
      </c>
      <c r="C29" s="167">
        <f t="shared" ref="C29:C34" si="6">(C19-B19)/B19</f>
        <v>0.1318051575931232</v>
      </c>
      <c r="D29" s="167">
        <f t="shared" ref="D29:D34" si="7">(D19-B19)/B19</f>
        <v>0.24355300859598855</v>
      </c>
      <c r="E29" s="167">
        <f t="shared" ref="E29:E34" si="8">(E19-B19)/B19</f>
        <v>0.30372492836676218</v>
      </c>
      <c r="F29" s="167">
        <f t="shared" ref="F29:F34" si="9">(F19-B19)/B19</f>
        <v>0.40687679083094558</v>
      </c>
      <c r="G29" s="167">
        <f t="shared" ref="G29:G34" si="10">(G19-B19)/B19</f>
        <v>0.42979942693409739</v>
      </c>
      <c r="H29" s="167">
        <f t="shared" ref="H29:H34" si="11">(H19-B19)/B19</f>
        <v>0.36962750716332377</v>
      </c>
      <c r="I29" s="167">
        <f t="shared" ref="I29:I34" si="12">(I19-B19)/B19</f>
        <v>0.46418338108882523</v>
      </c>
      <c r="J29" s="167">
        <f t="shared" ref="J29:J34" si="13">(J19-B19)/B19</f>
        <v>0.62464183381088823</v>
      </c>
      <c r="K29" s="167">
        <f t="shared" ref="K29:K34" si="14">(K19-B19)/B19</f>
        <v>0.75358166189111753</v>
      </c>
      <c r="L29" s="167">
        <f t="shared" ref="L29:L34" si="15">(L19-B19)/B19</f>
        <v>0.87679083094555876</v>
      </c>
      <c r="M29" s="167">
        <f t="shared" ref="M29:M34" si="16">(M19-B19)/B19</f>
        <v>1.0859598853868195</v>
      </c>
      <c r="N29" s="167">
        <f t="shared" ref="N29:N34" si="17">(N19-B19)/B19</f>
        <v>1.1146131805157593</v>
      </c>
      <c r="O29" s="167">
        <f t="shared" ref="O29:O34" si="18">(O19-B19)/B19</f>
        <v>0.3524355300859599</v>
      </c>
      <c r="P29" s="167">
        <f t="shared" ref="P29:P34" si="19">(P19-B19)/B19</f>
        <v>0.33810888252148996</v>
      </c>
      <c r="Q29" s="167">
        <f t="shared" ref="Q29:Q34" si="20">(Q19-B19)/B19</f>
        <v>-0.2177650429799427</v>
      </c>
      <c r="R29" s="167">
        <f t="shared" ref="R29:R34" si="21">(R19-B19)/B19</f>
        <v>-0.17765042979942694</v>
      </c>
      <c r="S29" s="167">
        <f t="shared" ref="S29:S34" si="22">(S19-B19)/B19</f>
        <v>-0.19197707736389685</v>
      </c>
      <c r="T29" s="167">
        <f t="shared" ref="T29:T34" si="23">(T19-B19)/B19</f>
        <v>-0.53295128939828085</v>
      </c>
      <c r="U29" s="167">
        <f t="shared" ref="U29:U34" si="24">(U19-B19)/B19</f>
        <v>-0.63896848137535822</v>
      </c>
      <c r="V29" s="167">
        <f t="shared" ref="V29:V34" si="25">(V19-B19)/B19</f>
        <v>-0.65616045845272208</v>
      </c>
      <c r="W29" s="167">
        <f t="shared" ref="W29:W34" si="26">(W19-B19)/B19</f>
        <v>-0.5386819484240688</v>
      </c>
      <c r="Y29" t="s">
        <v>268</v>
      </c>
      <c r="Z29" s="216">
        <v>-0.39</v>
      </c>
    </row>
    <row r="30" spans="1:26" ht="15.75" thickTop="1" x14ac:dyDescent="0.25">
      <c r="A30" s="143" t="s">
        <v>195</v>
      </c>
      <c r="B30" s="147">
        <f t="shared" si="5"/>
        <v>0</v>
      </c>
      <c r="C30" s="147">
        <f t="shared" si="6"/>
        <v>2.0833333333333332E-2</v>
      </c>
      <c r="D30" s="147">
        <f t="shared" si="7"/>
        <v>-8.3333333333333329E-2</v>
      </c>
      <c r="E30" s="147">
        <f t="shared" si="8"/>
        <v>-0.125</v>
      </c>
      <c r="F30" s="147">
        <f t="shared" si="9"/>
        <v>-0.10416666666666667</v>
      </c>
      <c r="G30" s="147">
        <f t="shared" si="10"/>
        <v>-0.46875</v>
      </c>
      <c r="H30" s="147">
        <f t="shared" si="11"/>
        <v>-0.45833333333333331</v>
      </c>
      <c r="I30" s="147">
        <f t="shared" si="12"/>
        <v>-0.36458333333333331</v>
      </c>
      <c r="J30" s="147">
        <f t="shared" si="13"/>
        <v>-0.28125</v>
      </c>
      <c r="K30" s="147">
        <f t="shared" si="14"/>
        <v>-0.21875</v>
      </c>
      <c r="L30" s="147">
        <f t="shared" si="15"/>
        <v>-0.27083333333333331</v>
      </c>
      <c r="M30" s="147">
        <f t="shared" si="16"/>
        <v>-0.26041666666666669</v>
      </c>
      <c r="N30" s="147">
        <f t="shared" si="17"/>
        <v>-0.21875</v>
      </c>
      <c r="O30" s="147">
        <f t="shared" si="18"/>
        <v>-0.17708333333333334</v>
      </c>
      <c r="P30" s="147">
        <f t="shared" si="19"/>
        <v>-0.21875</v>
      </c>
      <c r="Q30" s="147">
        <f t="shared" si="20"/>
        <v>-0.3125</v>
      </c>
      <c r="R30" s="147">
        <f t="shared" si="21"/>
        <v>-0.42708333333333331</v>
      </c>
      <c r="S30" s="147">
        <f t="shared" si="22"/>
        <v>-0.52083333333333337</v>
      </c>
      <c r="T30" s="147">
        <f t="shared" si="23"/>
        <v>-0.48958333333333331</v>
      </c>
      <c r="U30" s="147">
        <f t="shared" si="24"/>
        <v>-0.5</v>
      </c>
      <c r="V30" s="147">
        <f t="shared" si="25"/>
        <v>-0.5</v>
      </c>
      <c r="W30" s="147">
        <f t="shared" si="26"/>
        <v>-0.46875</v>
      </c>
      <c r="Y30" t="s">
        <v>353</v>
      </c>
      <c r="Z30" s="216">
        <v>1.1999999999999993</v>
      </c>
    </row>
    <row r="31" spans="1:26" x14ac:dyDescent="0.25">
      <c r="A31" s="143" t="s">
        <v>196</v>
      </c>
      <c r="B31" s="147">
        <f t="shared" si="5"/>
        <v>0</v>
      </c>
      <c r="C31" s="147">
        <f t="shared" si="6"/>
        <v>3.7735849056603772E-2</v>
      </c>
      <c r="D31" s="147">
        <f t="shared" si="7"/>
        <v>0.1069182389937107</v>
      </c>
      <c r="E31" s="147">
        <f t="shared" si="8"/>
        <v>0.1069182389937107</v>
      </c>
      <c r="F31" s="147">
        <f t="shared" si="9"/>
        <v>0.21383647798742139</v>
      </c>
      <c r="G31" s="147">
        <f t="shared" si="10"/>
        <v>0.22012578616352202</v>
      </c>
      <c r="H31" s="147">
        <f t="shared" si="11"/>
        <v>0.12578616352201258</v>
      </c>
      <c r="I31" s="147">
        <f t="shared" si="12"/>
        <v>8.8050314465408799E-2</v>
      </c>
      <c r="J31" s="147">
        <f t="shared" si="13"/>
        <v>9.4339622641509441E-2</v>
      </c>
      <c r="K31" s="147">
        <f t="shared" si="14"/>
        <v>0.15094339622641509</v>
      </c>
      <c r="L31" s="147">
        <f t="shared" si="15"/>
        <v>0.18238993710691823</v>
      </c>
      <c r="M31" s="147">
        <f t="shared" si="16"/>
        <v>0.20125786163522014</v>
      </c>
      <c r="N31" s="147">
        <f t="shared" si="17"/>
        <v>0.20754716981132076</v>
      </c>
      <c r="O31" s="147">
        <f t="shared" si="18"/>
        <v>0.21383647798742139</v>
      </c>
      <c r="P31" s="147">
        <f t="shared" si="19"/>
        <v>0.21383647798742139</v>
      </c>
      <c r="Q31" s="147">
        <f t="shared" si="20"/>
        <v>0.32075471698113206</v>
      </c>
      <c r="R31" s="147">
        <f t="shared" si="21"/>
        <v>0.40251572327044027</v>
      </c>
      <c r="S31" s="147">
        <f t="shared" si="22"/>
        <v>0.43396226415094341</v>
      </c>
      <c r="T31" s="147">
        <f t="shared" si="23"/>
        <v>0.4779874213836478</v>
      </c>
      <c r="U31" s="147">
        <f t="shared" si="24"/>
        <v>0.1761006289308176</v>
      </c>
      <c r="V31" s="147">
        <f t="shared" si="25"/>
        <v>-3.1446540880503145E-2</v>
      </c>
      <c r="W31" s="147">
        <f t="shared" si="26"/>
        <v>1.8867924528301886E-2</v>
      </c>
      <c r="Y31" t="s">
        <v>196</v>
      </c>
      <c r="Z31" s="214">
        <v>1.5199999999999996</v>
      </c>
    </row>
    <row r="32" spans="1:26" x14ac:dyDescent="0.25">
      <c r="A32" s="143" t="s">
        <v>268</v>
      </c>
      <c r="B32" s="147">
        <f t="shared" si="5"/>
        <v>0</v>
      </c>
      <c r="C32" s="147">
        <f t="shared" si="6"/>
        <v>-1.2987012987012988E-2</v>
      </c>
      <c r="D32" s="147">
        <f t="shared" si="7"/>
        <v>0.11688311688311688</v>
      </c>
      <c r="E32" s="147">
        <f t="shared" si="8"/>
        <v>0.19480519480519481</v>
      </c>
      <c r="F32" s="147">
        <f t="shared" si="9"/>
        <v>0.24675324675324675</v>
      </c>
      <c r="G32" s="147">
        <f t="shared" si="10"/>
        <v>0.36363636363636365</v>
      </c>
      <c r="H32" s="147">
        <f t="shared" si="11"/>
        <v>0.38961038961038963</v>
      </c>
      <c r="I32" s="147">
        <f t="shared" si="12"/>
        <v>0.42857142857142855</v>
      </c>
      <c r="J32" s="147">
        <f t="shared" si="13"/>
        <v>0.27272727272727271</v>
      </c>
      <c r="K32" s="147">
        <f t="shared" si="14"/>
        <v>0.12987012987012986</v>
      </c>
      <c r="L32" s="147">
        <f t="shared" si="15"/>
        <v>0.20779220779220781</v>
      </c>
      <c r="M32" s="147">
        <f t="shared" si="16"/>
        <v>0.14285714285714285</v>
      </c>
      <c r="N32" s="147">
        <f t="shared" si="17"/>
        <v>0.11688311688311688</v>
      </c>
      <c r="O32" s="147">
        <f t="shared" si="18"/>
        <v>0.1038961038961039</v>
      </c>
      <c r="P32" s="147">
        <f t="shared" si="19"/>
        <v>9.0909090909090912E-2</v>
      </c>
      <c r="Q32" s="147">
        <f t="shared" si="20"/>
        <v>0.12987012987012986</v>
      </c>
      <c r="R32" s="147">
        <f t="shared" si="21"/>
        <v>0.16883116883116883</v>
      </c>
      <c r="S32" s="147">
        <f t="shared" si="22"/>
        <v>0.2857142857142857</v>
      </c>
      <c r="T32" s="147">
        <f t="shared" si="23"/>
        <v>0.35064935064935066</v>
      </c>
      <c r="U32" s="147">
        <f t="shared" si="24"/>
        <v>0.29870129870129869</v>
      </c>
      <c r="V32" s="147">
        <f t="shared" si="25"/>
        <v>0.32467532467532467</v>
      </c>
      <c r="W32" s="147">
        <f t="shared" si="26"/>
        <v>0.31168831168831168</v>
      </c>
      <c r="Y32" t="s">
        <v>270</v>
      </c>
      <c r="Z32" s="214">
        <v>3.74</v>
      </c>
    </row>
    <row r="33" spans="1:26" x14ac:dyDescent="0.25">
      <c r="A33" s="178" t="s">
        <v>269</v>
      </c>
      <c r="B33" s="147">
        <f t="shared" si="5"/>
        <v>0</v>
      </c>
      <c r="C33" s="147">
        <f t="shared" si="6"/>
        <v>1.7634854771784232E-2</v>
      </c>
      <c r="D33" s="147">
        <f t="shared" si="7"/>
        <v>3.8381742738589214E-2</v>
      </c>
      <c r="E33" s="147">
        <f t="shared" si="8"/>
        <v>5.1348547717842322E-2</v>
      </c>
      <c r="F33" s="147">
        <f t="shared" si="9"/>
        <v>7.7800829875518673E-2</v>
      </c>
      <c r="G33" s="147">
        <f t="shared" si="10"/>
        <v>4.0456431535269712E-2</v>
      </c>
      <c r="H33" s="147">
        <f t="shared" si="11"/>
        <v>-2.5933609958506223E-3</v>
      </c>
      <c r="I33" s="147">
        <f t="shared" si="12"/>
        <v>-1.9190871369294607E-2</v>
      </c>
      <c r="J33" s="147">
        <f t="shared" si="13"/>
        <v>-4.9273858921161824E-2</v>
      </c>
      <c r="K33" s="147">
        <f t="shared" si="14"/>
        <v>5.705394190871369E-3</v>
      </c>
      <c r="L33" s="147">
        <f t="shared" si="15"/>
        <v>3.6825726141078839E-2</v>
      </c>
      <c r="M33" s="147">
        <f t="shared" si="16"/>
        <v>9.3360995850622408E-2</v>
      </c>
      <c r="N33" s="147">
        <f t="shared" si="17"/>
        <v>0.10321576763485477</v>
      </c>
      <c r="O33" s="147">
        <f t="shared" si="18"/>
        <v>0.11721991701244813</v>
      </c>
      <c r="P33" s="147">
        <f t="shared" si="19"/>
        <v>0.12448132780082988</v>
      </c>
      <c r="Q33" s="147">
        <f t="shared" si="20"/>
        <v>0.12240663900414937</v>
      </c>
      <c r="R33" s="147">
        <f t="shared" si="21"/>
        <v>5.3941908713692949E-2</v>
      </c>
      <c r="S33" s="147">
        <f t="shared" si="22"/>
        <v>-3.4232365145228219E-2</v>
      </c>
      <c r="T33" s="147">
        <f t="shared" si="23"/>
        <v>-0.16908713692946059</v>
      </c>
      <c r="U33" s="147">
        <f t="shared" si="24"/>
        <v>-0.27126556016597508</v>
      </c>
      <c r="V33" s="147">
        <f t="shared" si="25"/>
        <v>-0.29304979253112035</v>
      </c>
      <c r="W33" s="147">
        <f t="shared" si="26"/>
        <v>-0.30082987551867219</v>
      </c>
      <c r="Y33" t="s">
        <v>269</v>
      </c>
      <c r="Z33" s="214">
        <v>4.8400000000000016</v>
      </c>
    </row>
    <row r="34" spans="1:26" x14ac:dyDescent="0.25">
      <c r="A34" s="143" t="s">
        <v>270</v>
      </c>
      <c r="B34" s="147">
        <f t="shared" si="5"/>
        <v>0</v>
      </c>
      <c r="C34" s="147">
        <f t="shared" si="6"/>
        <v>2.6714158504007124E-3</v>
      </c>
      <c r="D34" s="147">
        <f t="shared" si="7"/>
        <v>2.8495102404274265E-2</v>
      </c>
      <c r="E34" s="147">
        <f t="shared" si="8"/>
        <v>4.0071237756010687E-2</v>
      </c>
      <c r="F34" s="147">
        <f t="shared" si="9"/>
        <v>4.7195013357079249E-2</v>
      </c>
      <c r="G34" s="147">
        <f t="shared" si="10"/>
        <v>8.3704363312555652E-2</v>
      </c>
      <c r="H34" s="147">
        <f t="shared" si="11"/>
        <v>7.6580587711487083E-2</v>
      </c>
      <c r="I34" s="147">
        <f t="shared" si="12"/>
        <v>6.2333036509349952E-2</v>
      </c>
      <c r="J34" s="147">
        <f t="shared" si="13"/>
        <v>-5.3428317008014248E-3</v>
      </c>
      <c r="K34" s="147">
        <f t="shared" si="14"/>
        <v>5.4318788958147818E-2</v>
      </c>
      <c r="L34" s="147">
        <f t="shared" si="15"/>
        <v>7.8361531611754229E-2</v>
      </c>
      <c r="M34" s="147">
        <f t="shared" si="16"/>
        <v>0.14603739982190561</v>
      </c>
      <c r="N34" s="147">
        <f t="shared" si="17"/>
        <v>0.1647373107747106</v>
      </c>
      <c r="O34" s="147">
        <f t="shared" si="18"/>
        <v>0.17542297417631345</v>
      </c>
      <c r="P34" s="147">
        <f t="shared" si="19"/>
        <v>0.13713268032056991</v>
      </c>
      <c r="Q34" s="147">
        <f t="shared" si="20"/>
        <v>0.15494211932324131</v>
      </c>
      <c r="R34" s="147">
        <f t="shared" si="21"/>
        <v>0.14336598397150491</v>
      </c>
      <c r="S34" s="147">
        <f t="shared" si="22"/>
        <v>0.18788958147818344</v>
      </c>
      <c r="T34" s="147">
        <f t="shared" si="23"/>
        <v>0.2350845948352627</v>
      </c>
      <c r="U34" s="147">
        <f t="shared" si="24"/>
        <v>0.22261798753339271</v>
      </c>
      <c r="V34" s="147">
        <f t="shared" si="25"/>
        <v>0.24577025823686555</v>
      </c>
      <c r="W34" s="147">
        <f t="shared" si="26"/>
        <v>0.21193232413178986</v>
      </c>
      <c r="Y34" t="s">
        <v>195</v>
      </c>
      <c r="Z34" s="214">
        <v>5.2899999999999991</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356</v>
      </c>
      <c r="B36" s="315"/>
      <c r="C36" s="315"/>
      <c r="D36" s="315"/>
      <c r="E36" s="315"/>
      <c r="F36" s="315"/>
      <c r="G36" s="315"/>
      <c r="H36" s="315"/>
      <c r="I36" s="315"/>
      <c r="J36" s="315"/>
      <c r="K36" s="315"/>
      <c r="L36" s="315"/>
      <c r="M36" s="315"/>
      <c r="N36" s="315"/>
      <c r="O36" s="315"/>
      <c r="P36" s="315"/>
      <c r="Q36" s="315"/>
      <c r="R36" s="315"/>
      <c r="S36" s="315"/>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353</v>
      </c>
      <c r="B38" s="168">
        <v>14.59</v>
      </c>
      <c r="C38" s="168">
        <v>16.07</v>
      </c>
      <c r="D38" s="168">
        <v>14.82</v>
      </c>
      <c r="E38" s="168">
        <v>21.98</v>
      </c>
      <c r="F38" s="168">
        <v>20.57</v>
      </c>
      <c r="G38" s="168">
        <v>18.649999999999999</v>
      </c>
      <c r="H38" s="168">
        <v>16.39</v>
      </c>
      <c r="I38" s="168">
        <v>10.8</v>
      </c>
      <c r="J38" s="168">
        <v>16.399999999999999</v>
      </c>
      <c r="K38" s="168">
        <v>16.59</v>
      </c>
      <c r="L38" s="168">
        <v>16.52</v>
      </c>
      <c r="M38" s="168">
        <v>15.41</v>
      </c>
      <c r="N38" s="168">
        <v>15.55</v>
      </c>
      <c r="O38" s="168">
        <v>10.48</v>
      </c>
      <c r="P38" s="168">
        <v>13.08</v>
      </c>
      <c r="Q38" s="168">
        <v>13.35</v>
      </c>
      <c r="R38" s="168">
        <v>13.07</v>
      </c>
      <c r="S38" s="169">
        <v>15.79</v>
      </c>
      <c r="T38" s="214">
        <f>S38-(B38*1.4985)</f>
        <v>-6.0731150000000014</v>
      </c>
      <c r="U38" s="220">
        <f>T38/B38</f>
        <v>-0.41625188485263886</v>
      </c>
    </row>
    <row r="39" spans="1:26" ht="15.75" thickTop="1" x14ac:dyDescent="0.25">
      <c r="A39" s="143" t="s">
        <v>195</v>
      </c>
      <c r="B39" s="150">
        <v>23.35</v>
      </c>
      <c r="C39" s="150">
        <v>22.2</v>
      </c>
      <c r="D39" s="150">
        <v>21.39</v>
      </c>
      <c r="E39" s="150">
        <v>23.45</v>
      </c>
      <c r="F39" s="150">
        <v>19.2</v>
      </c>
      <c r="G39" s="150">
        <v>20.46</v>
      </c>
      <c r="H39" s="150">
        <v>24.26</v>
      </c>
      <c r="I39" s="150">
        <v>23.65</v>
      </c>
      <c r="J39" s="150">
        <v>22.15</v>
      </c>
      <c r="K39" s="150">
        <v>21.79</v>
      </c>
      <c r="L39" s="150">
        <v>21.58</v>
      </c>
      <c r="M39" s="150">
        <v>22.25</v>
      </c>
      <c r="N39" s="150">
        <v>22.23</v>
      </c>
      <c r="O39" s="150">
        <v>24.16</v>
      </c>
      <c r="P39" s="150">
        <v>32.729999999999997</v>
      </c>
      <c r="Q39" s="150">
        <v>29.26</v>
      </c>
      <c r="R39" s="150">
        <v>28.37</v>
      </c>
      <c r="S39" s="151">
        <v>28.64</v>
      </c>
      <c r="T39" s="214">
        <f t="shared" ref="T39:T43" si="27">S39-(B39*1.4985)</f>
        <v>-6.3499750000000006</v>
      </c>
      <c r="U39" s="220">
        <f>T39/B39</f>
        <v>-0.27194753747323341</v>
      </c>
    </row>
    <row r="40" spans="1:26" x14ac:dyDescent="0.25">
      <c r="A40" s="143" t="s">
        <v>196</v>
      </c>
      <c r="B40" s="150">
        <v>15.75</v>
      </c>
      <c r="C40" s="150">
        <v>14.33</v>
      </c>
      <c r="D40" s="150">
        <v>14.46</v>
      </c>
      <c r="E40" s="150">
        <v>13.94</v>
      </c>
      <c r="F40" s="150">
        <v>15.76</v>
      </c>
      <c r="G40" s="150">
        <v>14.06</v>
      </c>
      <c r="H40" s="150">
        <v>15.39</v>
      </c>
      <c r="I40" s="150">
        <v>11.21</v>
      </c>
      <c r="J40" s="150">
        <v>11.85</v>
      </c>
      <c r="K40" s="150">
        <v>12.17</v>
      </c>
      <c r="L40" s="150">
        <v>15.07</v>
      </c>
      <c r="M40" s="150">
        <v>21.18</v>
      </c>
      <c r="N40" s="150">
        <v>12.22</v>
      </c>
      <c r="O40" s="150">
        <v>12.27</v>
      </c>
      <c r="P40" s="150">
        <v>11.18</v>
      </c>
      <c r="Q40" s="150">
        <v>13.08</v>
      </c>
      <c r="R40" s="150">
        <v>17.54</v>
      </c>
      <c r="S40" s="151">
        <v>17.27</v>
      </c>
      <c r="T40" s="214">
        <f t="shared" si="27"/>
        <v>-6.3313749999999978</v>
      </c>
      <c r="U40" s="220">
        <f t="shared" ref="U40:U43" si="28">T40/B40</f>
        <v>-0.40199206349206335</v>
      </c>
    </row>
    <row r="41" spans="1:26" x14ac:dyDescent="0.25">
      <c r="A41" s="143" t="s">
        <v>268</v>
      </c>
      <c r="B41" s="150">
        <v>14.74</v>
      </c>
      <c r="C41" s="150">
        <v>16.760000000000002</v>
      </c>
      <c r="D41" s="150">
        <v>16.059999999999999</v>
      </c>
      <c r="E41" s="150">
        <v>20.84</v>
      </c>
      <c r="F41" s="150">
        <v>18.25</v>
      </c>
      <c r="G41" s="150">
        <v>16.46</v>
      </c>
      <c r="H41" s="150">
        <v>15.65</v>
      </c>
      <c r="I41" s="150">
        <v>23.58</v>
      </c>
      <c r="J41" s="150">
        <v>21.99</v>
      </c>
      <c r="K41" s="150">
        <v>20.83</v>
      </c>
      <c r="L41" s="150">
        <v>21.25</v>
      </c>
      <c r="M41" s="150">
        <v>22.19</v>
      </c>
      <c r="N41" s="150">
        <v>26.48</v>
      </c>
      <c r="O41" s="150">
        <v>33.409999999999997</v>
      </c>
      <c r="P41" s="150">
        <v>30.16</v>
      </c>
      <c r="Q41" s="150">
        <v>21.91</v>
      </c>
      <c r="R41" s="150">
        <v>14.16</v>
      </c>
      <c r="S41" s="151">
        <v>14.35</v>
      </c>
      <c r="T41" s="214">
        <f t="shared" si="27"/>
        <v>-7.7378899999999984</v>
      </c>
      <c r="U41" s="220">
        <f t="shared" si="28"/>
        <v>-0.5249586160108547</v>
      </c>
    </row>
    <row r="42" spans="1:26" x14ac:dyDescent="0.25">
      <c r="A42" s="178" t="s">
        <v>269</v>
      </c>
      <c r="B42" s="152">
        <v>13.1</v>
      </c>
      <c r="C42" s="152">
        <v>12</v>
      </c>
      <c r="D42" s="152">
        <v>11.79</v>
      </c>
      <c r="E42" s="152">
        <v>11.82</v>
      </c>
      <c r="F42" s="152">
        <v>12.65</v>
      </c>
      <c r="G42" s="152">
        <v>13.83</v>
      </c>
      <c r="H42" s="152">
        <v>13.98</v>
      </c>
      <c r="I42" s="152">
        <v>14.58</v>
      </c>
      <c r="J42" s="152">
        <v>14.33</v>
      </c>
      <c r="K42" s="152">
        <v>14.54</v>
      </c>
      <c r="L42" s="152">
        <v>14.08</v>
      </c>
      <c r="M42" s="152">
        <v>14.96</v>
      </c>
      <c r="N42" s="152">
        <v>14.85</v>
      </c>
      <c r="O42" s="152">
        <v>15.4</v>
      </c>
      <c r="P42" s="152">
        <v>15.78</v>
      </c>
      <c r="Q42" s="152">
        <v>15.56</v>
      </c>
      <c r="R42" s="152">
        <v>17.350000000000001</v>
      </c>
      <c r="S42" s="153">
        <v>17.940000000000001</v>
      </c>
      <c r="T42" s="214">
        <f t="shared" si="27"/>
        <v>-1.6903499999999987</v>
      </c>
      <c r="U42" s="220">
        <f t="shared" si="28"/>
        <v>-0.12903435114503808</v>
      </c>
    </row>
    <row r="43" spans="1:26" x14ac:dyDescent="0.25">
      <c r="A43" s="143" t="s">
        <v>270</v>
      </c>
      <c r="B43" s="152">
        <v>13.03</v>
      </c>
      <c r="C43" s="152">
        <v>11.78</v>
      </c>
      <c r="D43" s="152">
        <v>11.9</v>
      </c>
      <c r="E43" s="152">
        <v>11.68</v>
      </c>
      <c r="F43" s="152">
        <v>11.95</v>
      </c>
      <c r="G43" s="152">
        <v>12.32</v>
      </c>
      <c r="H43" s="152">
        <v>13.71</v>
      </c>
      <c r="I43" s="152">
        <v>11.85</v>
      </c>
      <c r="J43" s="152">
        <v>12.2</v>
      </c>
      <c r="K43" s="152">
        <v>11.78</v>
      </c>
      <c r="L43" s="152">
        <v>12.78</v>
      </c>
      <c r="M43" s="152">
        <v>12.97</v>
      </c>
      <c r="N43" s="152">
        <v>14.43</v>
      </c>
      <c r="O43" s="152">
        <v>15.3</v>
      </c>
      <c r="P43" s="152">
        <v>15.37</v>
      </c>
      <c r="Q43" s="152">
        <v>15.48</v>
      </c>
      <c r="R43" s="152">
        <v>14.7</v>
      </c>
      <c r="S43" s="153">
        <v>16.77</v>
      </c>
      <c r="T43" s="214">
        <f t="shared" si="27"/>
        <v>-2.7554549999999978</v>
      </c>
      <c r="U43" s="220">
        <f t="shared" si="28"/>
        <v>-0.21147006907137358</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357</v>
      </c>
      <c r="B46" s="315"/>
      <c r="C46" s="315"/>
      <c r="D46" s="315"/>
      <c r="E46" s="315"/>
      <c r="F46" s="315"/>
      <c r="G46" s="315"/>
      <c r="H46" s="315"/>
      <c r="I46" s="315"/>
      <c r="J46" s="315"/>
      <c r="K46" s="315"/>
      <c r="L46" s="315"/>
      <c r="M46" s="315"/>
      <c r="N46" s="315"/>
      <c r="O46" s="315"/>
      <c r="P46" s="315"/>
      <c r="Q46" s="315"/>
      <c r="R46" s="315"/>
      <c r="S46" s="315"/>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353</v>
      </c>
      <c r="B48" s="167">
        <f>(B38-B38)/B38</f>
        <v>0</v>
      </c>
      <c r="C48" s="167">
        <f>(C38-B38)/B38</f>
        <v>0.10143934201507886</v>
      </c>
      <c r="D48" s="167">
        <f>(D38-B38)/B38</f>
        <v>1.5764222069910926E-2</v>
      </c>
      <c r="E48" s="167">
        <f>(E38-B38)/B38</f>
        <v>0.50651130911583275</v>
      </c>
      <c r="F48" s="167">
        <f>(F38-B38)/B38</f>
        <v>0.40986977381768336</v>
      </c>
      <c r="G48" s="167">
        <f>(G38-B38)/B38</f>
        <v>0.27827278958190532</v>
      </c>
      <c r="H48" s="167">
        <f>(H38-B38)/B38</f>
        <v>0.12337217272104185</v>
      </c>
      <c r="I48" s="167">
        <f t="shared" ref="I48:I53" si="29">(I38-B38)/B38</f>
        <v>-0.25976696367374907</v>
      </c>
      <c r="J48" s="167">
        <f t="shared" ref="J48:J53" si="30">(J38-B38)/B38</f>
        <v>0.12405757368060306</v>
      </c>
      <c r="K48" s="167">
        <f t="shared" ref="K48:K53" si="31">(K38-B38)/B38</f>
        <v>0.13708019191226867</v>
      </c>
      <c r="L48" s="167">
        <f t="shared" ref="L48:L53" si="32">(L38-B38)/B38</f>
        <v>0.13228238519533925</v>
      </c>
      <c r="M48" s="167">
        <f t="shared" ref="M48:M53" si="33">(M38-B38)/B38</f>
        <v>5.6202878684030178E-2</v>
      </c>
      <c r="N48" s="167">
        <f t="shared" ref="N48:N53" si="34">(N38-B38)/B38</f>
        <v>6.5798492117889018E-2</v>
      </c>
      <c r="O48" s="167">
        <f t="shared" ref="O48:O53" si="35">(O38-B38)/B38</f>
        <v>-0.2816997943797121</v>
      </c>
      <c r="P48" s="167">
        <f t="shared" ref="P48:P53" si="36">(P38-B38)/B38</f>
        <v>-0.10349554489376284</v>
      </c>
      <c r="Q48" s="167">
        <f t="shared" ref="Q48:Q53" si="37">(Q38-B38)/B38</f>
        <v>-8.4989718985606602E-2</v>
      </c>
      <c r="R48" s="167">
        <f t="shared" ref="R48:R53" si="38">(R38-B38)/B38</f>
        <v>-0.10418094585332417</v>
      </c>
      <c r="S48" s="167">
        <f t="shared" ref="S48:S53" si="39">(S38-B38)/B38</f>
        <v>8.2248115147361162E-2</v>
      </c>
    </row>
    <row r="49" spans="1:19" ht="15.75" thickTop="1" x14ac:dyDescent="0.25">
      <c r="A49" s="143" t="s">
        <v>195</v>
      </c>
      <c r="B49" s="147">
        <f>(B39-B39)/B39</f>
        <v>0</v>
      </c>
      <c r="C49" s="147">
        <f>(C39-B39)/B39</f>
        <v>-4.9250535331905869E-2</v>
      </c>
      <c r="D49" s="147">
        <f>(D39-B39)/B39</f>
        <v>-8.3940042826552499E-2</v>
      </c>
      <c r="E49" s="147">
        <f>(E39-B39)/B39</f>
        <v>4.282655246252585E-3</v>
      </c>
      <c r="F49" s="147">
        <f>(F39-B39)/B39</f>
        <v>-0.17773019271948617</v>
      </c>
      <c r="G49" s="147">
        <f>(G39-B39)/B39</f>
        <v>-0.12376873661670237</v>
      </c>
      <c r="H49" s="147">
        <f>(H39-B39)/B39</f>
        <v>3.897216274089936E-2</v>
      </c>
      <c r="I49" s="147">
        <f t="shared" si="29"/>
        <v>1.2847965738757907E-2</v>
      </c>
      <c r="J49" s="147">
        <f t="shared" si="30"/>
        <v>-5.1391862955032237E-2</v>
      </c>
      <c r="K49" s="147">
        <f t="shared" si="31"/>
        <v>-6.6809421841541844E-2</v>
      </c>
      <c r="L49" s="147">
        <f t="shared" si="32"/>
        <v>-7.5802997858672505E-2</v>
      </c>
      <c r="M49" s="147">
        <f t="shared" si="33"/>
        <v>-4.7109207708779501E-2</v>
      </c>
      <c r="N49" s="147">
        <f t="shared" si="34"/>
        <v>-4.7965738758030022E-2</v>
      </c>
      <c r="O49" s="147">
        <f t="shared" si="35"/>
        <v>3.4689507494646624E-2</v>
      </c>
      <c r="P49" s="147">
        <f t="shared" si="36"/>
        <v>0.40171306209850083</v>
      </c>
      <c r="Q49" s="147">
        <f t="shared" si="37"/>
        <v>0.25310492505353316</v>
      </c>
      <c r="R49" s="147">
        <f t="shared" si="38"/>
        <v>0.21498929336188433</v>
      </c>
      <c r="S49" s="147">
        <f t="shared" si="39"/>
        <v>0.22655246252676656</v>
      </c>
    </row>
    <row r="50" spans="1:19" x14ac:dyDescent="0.25">
      <c r="A50" s="143" t="s">
        <v>196</v>
      </c>
      <c r="B50" s="147">
        <f>(B40-B40)/B40</f>
        <v>0</v>
      </c>
      <c r="C50" s="147">
        <f>(C40-B40)/B40</f>
        <v>-9.015873015873016E-2</v>
      </c>
      <c r="D50" s="147">
        <f>(D40-B40)/B40</f>
        <v>-8.1904761904761855E-2</v>
      </c>
      <c r="E50" s="147">
        <f>(E40-B40)/B40</f>
        <v>-0.11492063492063495</v>
      </c>
      <c r="F50" s="147">
        <f>(F40-B40)/B40</f>
        <v>6.3492063492062137E-4</v>
      </c>
      <c r="G50" s="147">
        <f>(G40-B40)/B40</f>
        <v>-0.10730158730158727</v>
      </c>
      <c r="H50" s="147">
        <f>(H40-B40)/B40</f>
        <v>-2.2857142857142822E-2</v>
      </c>
      <c r="I50" s="147">
        <f t="shared" si="29"/>
        <v>-0.28825396825396821</v>
      </c>
      <c r="J50" s="147">
        <f t="shared" si="30"/>
        <v>-0.24761904761904766</v>
      </c>
      <c r="K50" s="147">
        <f t="shared" si="31"/>
        <v>-0.22730158730158731</v>
      </c>
      <c r="L50" s="147">
        <f t="shared" si="32"/>
        <v>-4.3174603174603157E-2</v>
      </c>
      <c r="M50" s="147">
        <f t="shared" si="33"/>
        <v>0.34476190476190477</v>
      </c>
      <c r="N50" s="147">
        <f t="shared" si="34"/>
        <v>-0.22412698412698409</v>
      </c>
      <c r="O50" s="147">
        <f t="shared" si="35"/>
        <v>-0.22095238095238098</v>
      </c>
      <c r="P50" s="147">
        <f t="shared" si="36"/>
        <v>-0.29015873015873017</v>
      </c>
      <c r="Q50" s="147">
        <f t="shared" si="37"/>
        <v>-0.16952380952380952</v>
      </c>
      <c r="R50" s="147">
        <f t="shared" si="38"/>
        <v>0.1136507936507936</v>
      </c>
      <c r="S50" s="147">
        <f t="shared" si="39"/>
        <v>9.6507936507936487E-2</v>
      </c>
    </row>
    <row r="51" spans="1:19" x14ac:dyDescent="0.25">
      <c r="A51" s="143" t="s">
        <v>268</v>
      </c>
      <c r="B51" s="147">
        <f>(B41-B41)/B41</f>
        <v>0</v>
      </c>
      <c r="C51" s="147">
        <f>(C41-B41)/B41</f>
        <v>0.13704206241519684</v>
      </c>
      <c r="D51" s="147">
        <f>(D41-B41)/B41</f>
        <v>8.9552238805970047E-2</v>
      </c>
      <c r="E51" s="147">
        <f>(E41-B41)/B41</f>
        <v>0.4138398914518317</v>
      </c>
      <c r="F51" s="147">
        <f>(F41-B41)/B41</f>
        <v>0.23812754409769332</v>
      </c>
      <c r="G51" s="147">
        <f>(G41-B41)/B41</f>
        <v>0.11668928086838538</v>
      </c>
      <c r="H51" s="147">
        <f>(H41-B41)/B41</f>
        <v>6.1736770691994583E-2</v>
      </c>
      <c r="I51" s="147">
        <f t="shared" si="29"/>
        <v>0.59972862957937567</v>
      </c>
      <c r="J51" s="147">
        <f t="shared" si="30"/>
        <v>0.49185888738127531</v>
      </c>
      <c r="K51" s="147">
        <f t="shared" si="31"/>
        <v>0.41316146540027121</v>
      </c>
      <c r="L51" s="147">
        <f t="shared" si="32"/>
        <v>0.44165535956580732</v>
      </c>
      <c r="M51" s="147">
        <f t="shared" si="33"/>
        <v>0.50542740841248313</v>
      </c>
      <c r="N51" s="147">
        <f t="shared" si="34"/>
        <v>0.79647218453188606</v>
      </c>
      <c r="O51" s="147">
        <f t="shared" si="35"/>
        <v>1.2666214382632288</v>
      </c>
      <c r="P51" s="147">
        <f t="shared" si="36"/>
        <v>1.0461329715061058</v>
      </c>
      <c r="Q51" s="147">
        <f t="shared" si="37"/>
        <v>0.48643147896879241</v>
      </c>
      <c r="R51" s="147">
        <f t="shared" si="38"/>
        <v>-3.9348710990502037E-2</v>
      </c>
      <c r="S51" s="147">
        <f t="shared" si="39"/>
        <v>-2.6458616010854856E-2</v>
      </c>
    </row>
    <row r="52" spans="1:19" x14ac:dyDescent="0.25">
      <c r="A52" s="178" t="s">
        <v>269</v>
      </c>
      <c r="B52" s="147">
        <f t="shared" ref="B52:B53" si="40">(B42-B42)/B42</f>
        <v>0</v>
      </c>
      <c r="C52" s="147">
        <f t="shared" ref="C52:C53" si="41">(C42-B42)/B42</f>
        <v>-8.3969465648854935E-2</v>
      </c>
      <c r="D52" s="147">
        <f t="shared" ref="D52:D53" si="42">(D42-B42)/B42</f>
        <v>-0.10000000000000005</v>
      </c>
      <c r="E52" s="147">
        <f t="shared" ref="E52:E53" si="43">(E42-B42)/B42</f>
        <v>-9.7709923664122095E-2</v>
      </c>
      <c r="F52" s="147">
        <f t="shared" ref="F52:F53" si="44">(F42-B42)/B42</f>
        <v>-3.4351145038167885E-2</v>
      </c>
      <c r="G52" s="147">
        <f t="shared" ref="G52:G53" si="45">(G42-B42)/B42</f>
        <v>5.572519083969469E-2</v>
      </c>
      <c r="H52" s="147">
        <f t="shared" ref="H52:H53" si="46">(H42-B42)/B42</f>
        <v>6.7175572519084029E-2</v>
      </c>
      <c r="I52" s="147">
        <f t="shared" si="29"/>
        <v>0.11297709923664126</v>
      </c>
      <c r="J52" s="147">
        <f t="shared" si="30"/>
        <v>9.3893129770992401E-2</v>
      </c>
      <c r="K52" s="147">
        <f t="shared" si="31"/>
        <v>0.10992366412213737</v>
      </c>
      <c r="L52" s="147">
        <f t="shared" si="32"/>
        <v>7.4809160305343542E-2</v>
      </c>
      <c r="M52" s="147">
        <f t="shared" si="33"/>
        <v>0.14198473282442758</v>
      </c>
      <c r="N52" s="147">
        <f t="shared" si="34"/>
        <v>0.13358778625954199</v>
      </c>
      <c r="O52" s="147">
        <f t="shared" si="35"/>
        <v>0.17557251908396954</v>
      </c>
      <c r="P52" s="147">
        <f t="shared" si="36"/>
        <v>0.20458015267175572</v>
      </c>
      <c r="Q52" s="147">
        <f t="shared" si="37"/>
        <v>0.1877862595419848</v>
      </c>
      <c r="R52" s="147">
        <f t="shared" si="38"/>
        <v>0.32442748091603069</v>
      </c>
      <c r="S52" s="147">
        <f t="shared" si="39"/>
        <v>0.36946564885496197</v>
      </c>
    </row>
    <row r="53" spans="1:19" x14ac:dyDescent="0.25">
      <c r="A53" s="143" t="s">
        <v>270</v>
      </c>
      <c r="B53" s="147">
        <f t="shared" si="40"/>
        <v>0</v>
      </c>
      <c r="C53" s="147">
        <f t="shared" si="41"/>
        <v>-9.5932463545663857E-2</v>
      </c>
      <c r="D53" s="147">
        <f t="shared" si="42"/>
        <v>-8.6722947045280052E-2</v>
      </c>
      <c r="E53" s="147">
        <f t="shared" si="43"/>
        <v>-0.10360706062931693</v>
      </c>
      <c r="F53" s="147">
        <f t="shared" si="44"/>
        <v>-8.2885648503453577E-2</v>
      </c>
      <c r="G53" s="147">
        <f t="shared" si="45"/>
        <v>-5.4489639293936999E-2</v>
      </c>
      <c r="H53" s="147">
        <f t="shared" si="46"/>
        <v>5.2187260168841253E-2</v>
      </c>
      <c r="I53" s="147">
        <f t="shared" si="29"/>
        <v>-9.0560245587106666E-2</v>
      </c>
      <c r="J53" s="147">
        <f t="shared" si="30"/>
        <v>-6.3699155794320811E-2</v>
      </c>
      <c r="K53" s="147">
        <f t="shared" si="31"/>
        <v>-9.5932463545663857E-2</v>
      </c>
      <c r="L53" s="147">
        <f t="shared" si="32"/>
        <v>-1.9186492709132773E-2</v>
      </c>
      <c r="M53" s="147">
        <f t="shared" si="33"/>
        <v>-4.6047582501917671E-3</v>
      </c>
      <c r="N53" s="147">
        <f t="shared" si="34"/>
        <v>0.10744435917114355</v>
      </c>
      <c r="O53" s="147">
        <f t="shared" si="35"/>
        <v>0.17421335379892566</v>
      </c>
      <c r="P53" s="147">
        <f t="shared" si="36"/>
        <v>0.17958557175748274</v>
      </c>
      <c r="Q53" s="147">
        <f t="shared" si="37"/>
        <v>0.18802762854950125</v>
      </c>
      <c r="R53" s="147">
        <f t="shared" si="38"/>
        <v>0.1281657712970069</v>
      </c>
      <c r="S53" s="147">
        <f t="shared" si="39"/>
        <v>0.28702993092862628</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U28" sqref="U2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9" t="s">
        <v>358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3" spans="1:28" ht="15.75" x14ac:dyDescent="0.25">
      <c r="A3" s="315" t="s">
        <v>359</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223</v>
      </c>
      <c r="B5" s="144">
        <f>'5C'!B19</f>
        <v>349</v>
      </c>
      <c r="C5" s="144">
        <f>'5C'!C19</f>
        <v>395</v>
      </c>
      <c r="D5" s="144">
        <f>'5C'!D19</f>
        <v>434</v>
      </c>
      <c r="E5" s="144">
        <f>'5C'!E19</f>
        <v>455</v>
      </c>
      <c r="F5" s="144">
        <f>'5C'!F19</f>
        <v>491</v>
      </c>
      <c r="G5" s="144">
        <f>'5C'!G19</f>
        <v>499</v>
      </c>
      <c r="H5" s="144">
        <f>'5C'!H19</f>
        <v>478</v>
      </c>
      <c r="I5" s="144">
        <f>'5C'!I19</f>
        <v>511</v>
      </c>
      <c r="J5" s="144">
        <f>'5C'!J19</f>
        <v>567</v>
      </c>
      <c r="K5" s="144">
        <f>'5C'!K19</f>
        <v>612</v>
      </c>
      <c r="L5" s="144">
        <f>'5C'!L19</f>
        <v>655</v>
      </c>
      <c r="M5" s="144">
        <f>'5C'!M19</f>
        <v>728</v>
      </c>
      <c r="N5" s="144">
        <f>'5C'!N19</f>
        <v>738</v>
      </c>
      <c r="O5" s="144">
        <f>'5C'!O19</f>
        <v>472</v>
      </c>
      <c r="P5" s="144">
        <f>'5C'!P19</f>
        <v>467</v>
      </c>
      <c r="Q5" s="144">
        <f>'5C'!Q19</f>
        <v>273</v>
      </c>
      <c r="R5" s="144">
        <f>'5C'!R19</f>
        <v>287</v>
      </c>
      <c r="S5" s="144">
        <f>'5C'!S19</f>
        <v>282</v>
      </c>
      <c r="T5" s="144">
        <f>'5C'!T19</f>
        <v>163</v>
      </c>
      <c r="U5" s="144">
        <f>'5C'!U19</f>
        <v>126</v>
      </c>
      <c r="V5" s="144">
        <f>'5C'!V19</f>
        <v>120</v>
      </c>
      <c r="W5" s="144">
        <f>'5C'!W19</f>
        <v>161</v>
      </c>
      <c r="X5" s="145"/>
    </row>
    <row r="6" spans="1:28" x14ac:dyDescent="0.2">
      <c r="A6" s="143" t="s">
        <v>224</v>
      </c>
      <c r="B6" s="144">
        <v>11788</v>
      </c>
      <c r="C6" s="144">
        <v>12994</v>
      </c>
      <c r="D6" s="144">
        <v>14730</v>
      </c>
      <c r="E6" s="144">
        <v>15293</v>
      </c>
      <c r="F6" s="144">
        <v>15971</v>
      </c>
      <c r="G6" s="144">
        <v>16948</v>
      </c>
      <c r="H6" s="144">
        <v>15286</v>
      </c>
      <c r="I6" s="144">
        <v>16130</v>
      </c>
      <c r="J6" s="144">
        <v>16969</v>
      </c>
      <c r="K6" s="144">
        <v>16839</v>
      </c>
      <c r="L6" s="144">
        <v>18416</v>
      </c>
      <c r="M6" s="144">
        <v>19984</v>
      </c>
      <c r="N6" s="144">
        <v>20129</v>
      </c>
      <c r="O6" s="144">
        <v>19461</v>
      </c>
      <c r="P6" s="144">
        <v>20274</v>
      </c>
      <c r="Q6" s="144">
        <v>17889</v>
      </c>
      <c r="R6" s="144">
        <v>16823</v>
      </c>
      <c r="S6" s="144">
        <v>12657</v>
      </c>
      <c r="T6" s="144">
        <v>9202</v>
      </c>
      <c r="U6" s="144">
        <v>5328</v>
      </c>
      <c r="V6" s="144">
        <v>3931</v>
      </c>
      <c r="W6" s="144">
        <v>4850</v>
      </c>
      <c r="X6" s="145"/>
    </row>
    <row r="7" spans="1:28" x14ac:dyDescent="0.2">
      <c r="A7" s="143" t="s">
        <v>225</v>
      </c>
      <c r="B7" s="144">
        <v>258911</v>
      </c>
      <c r="C7" s="144">
        <v>285404</v>
      </c>
      <c r="D7" s="144">
        <v>316048</v>
      </c>
      <c r="E7" s="144">
        <v>332994</v>
      </c>
      <c r="F7" s="144">
        <v>353227</v>
      </c>
      <c r="G7" s="144">
        <v>384863</v>
      </c>
      <c r="H7" s="144">
        <v>374811</v>
      </c>
      <c r="I7" s="144">
        <v>421142</v>
      </c>
      <c r="J7" s="144">
        <v>470661</v>
      </c>
      <c r="K7" s="144">
        <v>501801</v>
      </c>
      <c r="L7" s="144">
        <v>545995</v>
      </c>
      <c r="M7" s="144">
        <v>597926</v>
      </c>
      <c r="N7" s="144">
        <v>611240</v>
      </c>
      <c r="O7" s="144">
        <v>608299</v>
      </c>
      <c r="P7" s="144">
        <v>617568</v>
      </c>
      <c r="Q7" s="144">
        <v>601294</v>
      </c>
      <c r="R7" s="144">
        <v>607182</v>
      </c>
      <c r="S7" s="144">
        <v>584568</v>
      </c>
      <c r="T7" s="144">
        <v>552221</v>
      </c>
      <c r="U7" s="144">
        <v>456070</v>
      </c>
      <c r="V7" s="144">
        <v>385327</v>
      </c>
      <c r="W7" s="144">
        <v>407035</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360</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223</v>
      </c>
      <c r="B12" s="170">
        <f>(B5-B5)/B5</f>
        <v>0</v>
      </c>
      <c r="C12" s="170">
        <f>(C5-B5)/B5</f>
        <v>0.1318051575931232</v>
      </c>
      <c r="D12" s="170">
        <f>(D5-B5)/B5</f>
        <v>0.24355300859598855</v>
      </c>
      <c r="E12" s="170">
        <f>(E5-B5)/B5</f>
        <v>0.30372492836676218</v>
      </c>
      <c r="F12" s="170">
        <f>(F5-B5)/B5</f>
        <v>0.40687679083094558</v>
      </c>
      <c r="G12" s="170">
        <f>(G5-B5)/B5</f>
        <v>0.42979942693409739</v>
      </c>
      <c r="H12" s="170">
        <f>(H5-B5)/B5</f>
        <v>0.36962750716332377</v>
      </c>
      <c r="I12" s="170">
        <f>(I5-B5)/B5</f>
        <v>0.46418338108882523</v>
      </c>
      <c r="J12" s="170">
        <f>(J5-B5)/B5</f>
        <v>0.62464183381088823</v>
      </c>
      <c r="K12" s="170">
        <f>(K5-B5)/B5</f>
        <v>0.75358166189111753</v>
      </c>
      <c r="L12" s="170">
        <f>(L5-B5)/B5</f>
        <v>0.87679083094555876</v>
      </c>
      <c r="M12" s="170">
        <f>(M5-B5)/B5</f>
        <v>1.0859598853868195</v>
      </c>
      <c r="N12" s="170">
        <f>(N5-B5)/B5</f>
        <v>1.1146131805157593</v>
      </c>
      <c r="O12" s="170">
        <f>(O5-B5)/B5</f>
        <v>0.3524355300859599</v>
      </c>
      <c r="P12" s="170">
        <f>(P5-B5)/B5</f>
        <v>0.33810888252148996</v>
      </c>
      <c r="Q12" s="170">
        <f>(Q5-B5)/B5</f>
        <v>-0.2177650429799427</v>
      </c>
      <c r="R12" s="170">
        <f>(R5-B5)/B5</f>
        <v>-0.17765042979942694</v>
      </c>
      <c r="S12" s="170">
        <f>(S5-B5)/B5</f>
        <v>-0.19197707736389685</v>
      </c>
      <c r="T12" s="170">
        <f>(T5-B5)/B5</f>
        <v>-0.53295128939828085</v>
      </c>
      <c r="U12" s="170">
        <f>(U5-B5)/B5</f>
        <v>-0.63896848137535822</v>
      </c>
      <c r="V12" s="170">
        <f>(V5-B5)/B5</f>
        <v>-0.65616045845272208</v>
      </c>
      <c r="W12" s="170">
        <f>(W5-B5)/B5</f>
        <v>-0.5386819484240688</v>
      </c>
    </row>
    <row r="13" spans="1:28" x14ac:dyDescent="0.2">
      <c r="A13" s="143" t="s">
        <v>224</v>
      </c>
      <c r="B13" s="170">
        <f>(B6-B6)/B6</f>
        <v>0</v>
      </c>
      <c r="C13" s="170">
        <f>(C6-B6)/B6</f>
        <v>0.10230743128605362</v>
      </c>
      <c r="D13" s="170">
        <f>(D6-B6)/B6</f>
        <v>0.2495758398371225</v>
      </c>
      <c r="E13" s="170">
        <f>(E6-B6)/B6</f>
        <v>0.29733627417712927</v>
      </c>
      <c r="F13" s="170">
        <f>(F6-B6)/B6</f>
        <v>0.35485239226331861</v>
      </c>
      <c r="G13" s="170">
        <f>(G6-B6)/B6</f>
        <v>0.43773328808958262</v>
      </c>
      <c r="H13" s="170">
        <f>(H6-B6)/B6</f>
        <v>0.29674244994910076</v>
      </c>
      <c r="I13" s="170">
        <f>(I6-B6)/B6</f>
        <v>0.36834068544282322</v>
      </c>
      <c r="J13" s="170">
        <f>(J6-B6)/B6</f>
        <v>0.43951476077366813</v>
      </c>
      <c r="K13" s="170">
        <f>(K6-B6)/B6</f>
        <v>0.42848659653885307</v>
      </c>
      <c r="L13" s="170">
        <f>(L6-B6)/B6</f>
        <v>0.56226671191041733</v>
      </c>
      <c r="M13" s="170">
        <f>(M6-B6)/B6</f>
        <v>0.69528333898880212</v>
      </c>
      <c r="N13" s="170">
        <f>(N6-B6)/B6</f>
        <v>0.70758398371224973</v>
      </c>
      <c r="O13" s="170">
        <f>(O6-B6)/B6</f>
        <v>0.65091618595181544</v>
      </c>
      <c r="P13" s="170">
        <f>(P6-B6)/B6</f>
        <v>0.71988462843569734</v>
      </c>
      <c r="Q13" s="170">
        <f>(Q6-B6)/B6</f>
        <v>0.51756023074312862</v>
      </c>
      <c r="R13" s="170">
        <f>(R6-B6)/B6</f>
        <v>0.42712928401764505</v>
      </c>
      <c r="S13" s="170">
        <f>(S6-B6)/B6</f>
        <v>7.3719036308109942E-2</v>
      </c>
      <c r="T13" s="170">
        <f>(T6-B6)/B6</f>
        <v>-0.21937563624024431</v>
      </c>
      <c r="U13" s="170">
        <f>(U6-B6)/B6</f>
        <v>-0.54801493043773331</v>
      </c>
      <c r="V13" s="170">
        <f>(V6-B6)/B6</f>
        <v>-0.66652527994570754</v>
      </c>
      <c r="W13" s="170">
        <f>(W6-B6)/B6</f>
        <v>-0.58856464200882253</v>
      </c>
    </row>
    <row r="14" spans="1:28" x14ac:dyDescent="0.2">
      <c r="A14" s="143" t="s">
        <v>225</v>
      </c>
      <c r="B14" s="170">
        <f>(B7-B7)/B7</f>
        <v>0</v>
      </c>
      <c r="C14" s="170">
        <f>(C7-B7)/B7</f>
        <v>0.10232473707181232</v>
      </c>
      <c r="D14" s="170">
        <f>(D7-B7)/B7</f>
        <v>0.22068201042056923</v>
      </c>
      <c r="E14" s="170">
        <f>(E7-B7)/B7</f>
        <v>0.28613307275473038</v>
      </c>
      <c r="F14" s="170">
        <f>(F7-B7)/B7</f>
        <v>0.36427961732023745</v>
      </c>
      <c r="G14" s="170">
        <f>(G7-B7)/B7</f>
        <v>0.48646832309171878</v>
      </c>
      <c r="H14" s="170">
        <f>(H7-B7)/B7</f>
        <v>0.44764417116306376</v>
      </c>
      <c r="I14" s="170">
        <f>(I7-B7)/B7</f>
        <v>0.62658983202722174</v>
      </c>
      <c r="J14" s="170">
        <f>(J7-B7)/B7</f>
        <v>0.8178486043466674</v>
      </c>
      <c r="K14" s="170">
        <f>(K7-B7)/B7</f>
        <v>0.93812159390678651</v>
      </c>
      <c r="L14" s="170">
        <f>(L7-B7)/B7</f>
        <v>1.1088134532715874</v>
      </c>
      <c r="M14" s="170">
        <f>(M7-B7)/B7</f>
        <v>1.3093881681349961</v>
      </c>
      <c r="N14" s="170">
        <f>(N7-B7)/B7</f>
        <v>1.3608112440182147</v>
      </c>
      <c r="O14" s="170">
        <f>(O7-B7)/B7</f>
        <v>1.3494521283375369</v>
      </c>
      <c r="P14" s="170">
        <f>(P7-B7)/B7</f>
        <v>1.385252075037368</v>
      </c>
      <c r="Q14" s="170">
        <f>(Q7-B7)/B7</f>
        <v>1.322396499183117</v>
      </c>
      <c r="R14" s="170">
        <f>(R7-B7)/B7</f>
        <v>1.3451379045309007</v>
      </c>
      <c r="S14" s="170">
        <f>(S7-B7)/B7</f>
        <v>1.2577951496846407</v>
      </c>
      <c r="T14" s="170">
        <f>(T7-B7)/B7</f>
        <v>1.1328603265214687</v>
      </c>
      <c r="U14" s="170">
        <f>(U7-B7)/B7</f>
        <v>0.76149333168540545</v>
      </c>
      <c r="V14" s="170">
        <f>(V7-B7)/B7</f>
        <v>0.48826044470879953</v>
      </c>
      <c r="W14" s="170">
        <f>(W7-B7)/B7</f>
        <v>0.57210392760446638</v>
      </c>
    </row>
    <row r="16" spans="1:28" ht="15.75" x14ac:dyDescent="0.25">
      <c r="A16" s="315" t="s">
        <v>361</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223</v>
      </c>
      <c r="B18" s="150">
        <f>'5C'!B38</f>
        <v>14.59</v>
      </c>
      <c r="C18" s="150">
        <f>'5C'!C38</f>
        <v>16.07</v>
      </c>
      <c r="D18" s="150">
        <f>'5C'!D38</f>
        <v>14.82</v>
      </c>
      <c r="E18" s="150">
        <f>'5C'!E38</f>
        <v>21.98</v>
      </c>
      <c r="F18" s="150">
        <f>'5C'!F38</f>
        <v>20.57</v>
      </c>
      <c r="G18" s="150">
        <f>'5C'!G38</f>
        <v>18.649999999999999</v>
      </c>
      <c r="H18" s="150">
        <f>'5C'!H38</f>
        <v>16.39</v>
      </c>
      <c r="I18" s="150">
        <f>'5C'!I38</f>
        <v>10.8</v>
      </c>
      <c r="J18" s="150">
        <f>'5C'!J38</f>
        <v>16.399999999999999</v>
      </c>
      <c r="K18" s="150">
        <f>'5C'!K38</f>
        <v>16.59</v>
      </c>
      <c r="L18" s="150">
        <f>'5C'!L38</f>
        <v>16.52</v>
      </c>
      <c r="M18" s="150">
        <f>'5C'!M38</f>
        <v>15.41</v>
      </c>
      <c r="N18" s="150">
        <f>'5C'!N38</f>
        <v>15.55</v>
      </c>
      <c r="O18" s="150">
        <f>'5C'!O38</f>
        <v>10.48</v>
      </c>
      <c r="P18" s="150">
        <f>'5C'!P38</f>
        <v>13.08</v>
      </c>
      <c r="Q18" s="150">
        <f>'5C'!Q38</f>
        <v>13.35</v>
      </c>
      <c r="R18" s="150">
        <f>'5C'!R38</f>
        <v>13.07</v>
      </c>
      <c r="S18" s="150">
        <f>'5C'!S38</f>
        <v>15.79</v>
      </c>
      <c r="T18"/>
      <c r="U18"/>
      <c r="V18"/>
      <c r="W18"/>
    </row>
    <row r="19" spans="1:23" ht="15" x14ac:dyDescent="0.25">
      <c r="A19" s="143" t="s">
        <v>224</v>
      </c>
      <c r="B19" s="150">
        <v>15.32</v>
      </c>
      <c r="C19" s="150">
        <v>21.01</v>
      </c>
      <c r="D19" s="150">
        <v>22.48</v>
      </c>
      <c r="E19" s="150">
        <v>23.22</v>
      </c>
      <c r="F19" s="150">
        <v>17.72</v>
      </c>
      <c r="G19" s="150">
        <v>17.16</v>
      </c>
      <c r="H19" s="150">
        <v>15.75</v>
      </c>
      <c r="I19" s="150">
        <v>11.16</v>
      </c>
      <c r="J19" s="150">
        <v>11.12</v>
      </c>
      <c r="K19" s="150">
        <v>11.2</v>
      </c>
      <c r="L19" s="150">
        <v>11.27</v>
      </c>
      <c r="M19" s="150">
        <v>12.13</v>
      </c>
      <c r="N19" s="150">
        <v>12.15</v>
      </c>
      <c r="O19" s="150">
        <v>13.42</v>
      </c>
      <c r="P19" s="150">
        <v>12.81</v>
      </c>
      <c r="Q19" s="150">
        <v>12.32</v>
      </c>
      <c r="R19" s="150">
        <v>14.44</v>
      </c>
      <c r="S19" s="219">
        <v>15.04</v>
      </c>
      <c r="T19"/>
      <c r="U19"/>
      <c r="V19"/>
      <c r="W19"/>
    </row>
    <row r="20" spans="1:23" ht="15" x14ac:dyDescent="0.25">
      <c r="A20" s="143" t="s">
        <v>225</v>
      </c>
      <c r="B20" s="150">
        <v>13.41</v>
      </c>
      <c r="C20" s="150">
        <v>13.53</v>
      </c>
      <c r="D20" s="150">
        <v>14.03</v>
      </c>
      <c r="E20" s="150">
        <v>14.6</v>
      </c>
      <c r="F20" s="150">
        <v>15.01</v>
      </c>
      <c r="G20" s="150">
        <v>14.22</v>
      </c>
      <c r="H20" s="150">
        <v>14.03</v>
      </c>
      <c r="I20" s="150">
        <v>12.7</v>
      </c>
      <c r="J20" s="150">
        <v>12.66</v>
      </c>
      <c r="K20" s="150">
        <v>12.92</v>
      </c>
      <c r="L20" s="150">
        <v>13.12</v>
      </c>
      <c r="M20" s="150">
        <v>13.53</v>
      </c>
      <c r="N20" s="150">
        <v>13.73</v>
      </c>
      <c r="O20" s="150">
        <v>13.89</v>
      </c>
      <c r="P20" s="150">
        <v>13.85</v>
      </c>
      <c r="Q20" s="150">
        <v>14.13</v>
      </c>
      <c r="R20" s="150">
        <v>14.48</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362</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229</v>
      </c>
      <c r="B25" s="170">
        <f>(B18-B18)/B18</f>
        <v>0</v>
      </c>
      <c r="C25" s="170">
        <f>(C18-B18)/B18</f>
        <v>0.10143934201507886</v>
      </c>
      <c r="D25" s="170">
        <f>(D18-B18)/B18</f>
        <v>1.5764222069910926E-2</v>
      </c>
      <c r="E25" s="170">
        <f>(E18-B18)/B18</f>
        <v>0.50651130911583275</v>
      </c>
      <c r="F25" s="170">
        <f>(F18-B18)/B18</f>
        <v>0.40986977381768336</v>
      </c>
      <c r="G25" s="170">
        <f>(G18-B18)/B18</f>
        <v>0.27827278958190532</v>
      </c>
      <c r="H25" s="170">
        <f>(H18-B18)/B18</f>
        <v>0.12337217272104185</v>
      </c>
      <c r="I25" s="170">
        <f>(I18-B18)/B18</f>
        <v>-0.25976696367374907</v>
      </c>
      <c r="J25" s="170">
        <f>(J18-B18)/B18</f>
        <v>0.12405757368060306</v>
      </c>
      <c r="K25" s="170">
        <f>(K18-B18)/B18</f>
        <v>0.13708019191226867</v>
      </c>
      <c r="L25" s="170">
        <f>(L18-B18)/B18</f>
        <v>0.13228238519533925</v>
      </c>
      <c r="M25" s="170">
        <f>(M18-B18)/B18</f>
        <v>5.6202878684030178E-2</v>
      </c>
      <c r="N25" s="170">
        <f>(N18-B18)/B18</f>
        <v>6.5798492117889018E-2</v>
      </c>
      <c r="O25" s="170">
        <f>(O18-B18)/B18</f>
        <v>-0.2816997943797121</v>
      </c>
      <c r="P25" s="170">
        <f>(P18-B18)/B18</f>
        <v>-0.10349554489376284</v>
      </c>
      <c r="Q25" s="170">
        <f>(Q18-B18)/B18</f>
        <v>-8.4989718985606602E-2</v>
      </c>
      <c r="R25" s="170">
        <f>(R18-B18)/B18</f>
        <v>-0.10418094585332417</v>
      </c>
      <c r="S25" s="170">
        <f>(S18-B18)/B18</f>
        <v>8.2248115147361162E-2</v>
      </c>
      <c r="T25"/>
      <c r="U25"/>
      <c r="V25"/>
      <c r="W25"/>
    </row>
    <row r="26" spans="1:23" ht="15" x14ac:dyDescent="0.25">
      <c r="A26" s="143" t="s">
        <v>224</v>
      </c>
      <c r="B26" s="170">
        <f>(B19-B19)/B19</f>
        <v>0</v>
      </c>
      <c r="C26" s="170">
        <f>(C19-B19)/B19</f>
        <v>0.37140992167101833</v>
      </c>
      <c r="D26" s="170">
        <f>(D19-B19)/B19</f>
        <v>0.46736292428198434</v>
      </c>
      <c r="E26" s="170">
        <f>(E19-B19)/B19</f>
        <v>0.51566579634464738</v>
      </c>
      <c r="F26" s="170">
        <f>(F19-B19)/B19</f>
        <v>0.15665796344647509</v>
      </c>
      <c r="G26" s="170">
        <f>(G19-B19)/B19</f>
        <v>0.12010443864229764</v>
      </c>
      <c r="H26" s="170">
        <f>(H19-B19)/B19</f>
        <v>2.8067885117493453E-2</v>
      </c>
      <c r="I26" s="170">
        <f>(I19-B19)/B19</f>
        <v>-0.27154046997389036</v>
      </c>
      <c r="J26" s="170">
        <f>(J19-B19)/B19</f>
        <v>-0.27415143603133163</v>
      </c>
      <c r="K26" s="170">
        <f>(K19-B19)/B19</f>
        <v>-0.26892950391644915</v>
      </c>
      <c r="L26" s="170">
        <f>(L19-B19)/B19</f>
        <v>-0.26436031331592691</v>
      </c>
      <c r="M26" s="170">
        <f>(M19-B19)/B19</f>
        <v>-0.20822454308093991</v>
      </c>
      <c r="N26" s="170">
        <f>(N19-B19)/B19</f>
        <v>-0.2069190600522193</v>
      </c>
      <c r="O26" s="170">
        <f>(O19-B19)/B19</f>
        <v>-0.12402088772845955</v>
      </c>
      <c r="P26" s="170">
        <f>(P19-B19)/B19</f>
        <v>-0.16383812010443863</v>
      </c>
      <c r="Q26" s="170">
        <f>(Q19-B19)/B19</f>
        <v>-0.195822454308094</v>
      </c>
      <c r="R26" s="170">
        <f>(R19-B19)/B19</f>
        <v>-5.7441253263707623E-2</v>
      </c>
      <c r="S26" s="170">
        <f>(S19-B19)/B19</f>
        <v>-1.8276762402088847E-2</v>
      </c>
      <c r="T26"/>
      <c r="U26"/>
      <c r="V26"/>
      <c r="W26"/>
    </row>
    <row r="27" spans="1:23" ht="15" x14ac:dyDescent="0.25">
      <c r="A27" s="143" t="s">
        <v>225</v>
      </c>
      <c r="B27" s="170">
        <f>(B20-B20)/B20</f>
        <v>0</v>
      </c>
      <c r="C27" s="170">
        <f>(C20-B20)/B20</f>
        <v>8.94854586129748E-3</v>
      </c>
      <c r="D27" s="170">
        <f>(D20-B20)/B20</f>
        <v>4.6234153616703896E-2</v>
      </c>
      <c r="E27" s="170">
        <f>(E20-B20)/B20</f>
        <v>8.8739746457867225E-2</v>
      </c>
      <c r="F27" s="170">
        <f>(F20-B20)/B20</f>
        <v>0.1193139448173005</v>
      </c>
      <c r="G27" s="170">
        <f>(G20-B20)/B20</f>
        <v>6.0402684563758427E-2</v>
      </c>
      <c r="H27" s="170">
        <f>(H20-B20)/B20</f>
        <v>4.6234153616703896E-2</v>
      </c>
      <c r="I27" s="170">
        <f>(I20-B20)/B20</f>
        <v>-5.2945563012677173E-2</v>
      </c>
      <c r="J27" s="170">
        <f>(J20-B20)/B20</f>
        <v>-5.5928411633109618E-2</v>
      </c>
      <c r="K27" s="170">
        <f>(K20-B20)/B20</f>
        <v>-3.65398956002983E-2</v>
      </c>
      <c r="L27" s="170">
        <f>(L20-B20)/B20</f>
        <v>-2.1625652498135788E-2</v>
      </c>
      <c r="M27" s="170">
        <f>(M20-B20)/B20</f>
        <v>8.94854586129748E-3</v>
      </c>
      <c r="N27" s="170">
        <f>(N20-B20)/B20</f>
        <v>2.3862788963460127E-2</v>
      </c>
      <c r="O27" s="170">
        <f>(O20-B20)/B20</f>
        <v>3.5794183445190191E-2</v>
      </c>
      <c r="P27" s="170">
        <f>(P20-B20)/B20</f>
        <v>3.2811334824757607E-2</v>
      </c>
      <c r="Q27" s="170">
        <f>(Q20-B20)/B20</f>
        <v>5.3691275167785282E-2</v>
      </c>
      <c r="R27" s="170">
        <f>(R20-B20)/B20</f>
        <v>7.9791200596569745E-2</v>
      </c>
      <c r="S27" s="170">
        <f>(S20-B20)/B20</f>
        <v>0.26398210290827734</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B10" sqref="B10"/>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363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4" spans="1:27" ht="15" x14ac:dyDescent="0.25">
      <c r="A4" s="320" t="s">
        <v>281</v>
      </c>
      <c r="B4" s="320"/>
      <c r="C4" s="320"/>
      <c r="D4" s="320"/>
    </row>
    <row r="5" spans="1:27" ht="15" x14ac:dyDescent="0.25">
      <c r="A5" s="321" t="s">
        <v>206</v>
      </c>
      <c r="B5" s="322"/>
      <c r="C5" s="321" t="s">
        <v>207</v>
      </c>
      <c r="D5" s="321"/>
    </row>
    <row r="6" spans="1:27" x14ac:dyDescent="0.2">
      <c r="A6" s="154" t="s">
        <v>208</v>
      </c>
      <c r="B6" s="155" t="s">
        <v>192</v>
      </c>
      <c r="C6" s="154" t="s">
        <v>208</v>
      </c>
      <c r="D6" s="156" t="s">
        <v>192</v>
      </c>
    </row>
    <row r="7" spans="1:27" x14ac:dyDescent="0.2">
      <c r="A7" s="1" t="s">
        <v>364</v>
      </c>
      <c r="B7" s="157">
        <f>6183/37807</f>
        <v>0.16354114317454441</v>
      </c>
      <c r="C7" s="1" t="s">
        <v>364</v>
      </c>
      <c r="D7" s="158">
        <f>3312/22282</f>
        <v>0.14864015797504712</v>
      </c>
    </row>
    <row r="8" spans="1:27" x14ac:dyDescent="0.2">
      <c r="A8" s="1" t="s">
        <v>324</v>
      </c>
      <c r="B8" s="157">
        <f>4762/37807</f>
        <v>0.12595551088422779</v>
      </c>
      <c r="C8" s="1" t="s">
        <v>214</v>
      </c>
      <c r="D8" s="158">
        <f>3004/22282</f>
        <v>0.13481734135176376</v>
      </c>
    </row>
    <row r="9" spans="1:27" x14ac:dyDescent="0.2">
      <c r="A9" s="1" t="s">
        <v>211</v>
      </c>
      <c r="B9" s="157">
        <f>3368/37807</f>
        <v>8.9084032057555482E-2</v>
      </c>
      <c r="C9" s="1" t="s">
        <v>324</v>
      </c>
      <c r="D9" s="158">
        <f>2642/22282</f>
        <v>0.11857104389193071</v>
      </c>
    </row>
    <row r="10" spans="1:27" x14ac:dyDescent="0.2">
      <c r="A10" s="1" t="s">
        <v>214</v>
      </c>
      <c r="B10" s="157">
        <f>2413/37807</f>
        <v>6.3824159547173798E-2</v>
      </c>
      <c r="C10" s="1" t="s">
        <v>215</v>
      </c>
      <c r="D10" s="158">
        <f>2501/22282</f>
        <v>0.11224306615205099</v>
      </c>
    </row>
    <row r="11" spans="1:27" x14ac:dyDescent="0.2">
      <c r="A11" s="1" t="s">
        <v>365</v>
      </c>
      <c r="B11" s="157">
        <f>2320/37807</f>
        <v>6.1364297616843443E-2</v>
      </c>
      <c r="C11" s="1" t="s">
        <v>211</v>
      </c>
      <c r="D11" s="158">
        <f>2156/22282</f>
        <v>9.6759716362983569E-2</v>
      </c>
    </row>
    <row r="12" spans="1:27" x14ac:dyDescent="0.2">
      <c r="A12" s="1" t="s">
        <v>217</v>
      </c>
      <c r="B12" s="157">
        <f>2161/37807</f>
        <v>5.7158727219827017E-2</v>
      </c>
      <c r="C12" s="1" t="s">
        <v>366</v>
      </c>
      <c r="D12" s="158">
        <f>2140/22282</f>
        <v>9.604164796696886E-2</v>
      </c>
    </row>
    <row r="13" spans="1:27" x14ac:dyDescent="0.2">
      <c r="A13" s="1" t="s">
        <v>212</v>
      </c>
      <c r="B13" s="157">
        <f>2143/37807</f>
        <v>5.6682624910730818E-2</v>
      </c>
      <c r="C13" s="1" t="s">
        <v>212</v>
      </c>
      <c r="D13" s="158">
        <f>1702/22282</f>
        <v>7.6384525626065888E-2</v>
      </c>
    </row>
    <row r="14" spans="1:27" x14ac:dyDescent="0.2">
      <c r="A14" s="1" t="s">
        <v>219</v>
      </c>
      <c r="B14" s="157">
        <f>2048/37807</f>
        <v>5.4169862723834214E-2</v>
      </c>
      <c r="C14" s="1" t="s">
        <v>217</v>
      </c>
      <c r="D14" s="158">
        <f>1606/22282</f>
        <v>7.2076115249977563E-2</v>
      </c>
    </row>
    <row r="15" spans="1:27" x14ac:dyDescent="0.2">
      <c r="A15" s="1" t="s">
        <v>215</v>
      </c>
      <c r="B15" s="157">
        <f>1944/37807</f>
        <v>5.1419049382389503E-2</v>
      </c>
      <c r="C15" s="1" t="s">
        <v>365</v>
      </c>
      <c r="D15" s="158">
        <f>1577/22282</f>
        <v>7.0774616282200886E-2</v>
      </c>
    </row>
    <row r="16" spans="1:27" x14ac:dyDescent="0.2">
      <c r="A16" s="1" t="s">
        <v>218</v>
      </c>
      <c r="B16" s="157">
        <f>1791/37807</f>
        <v>4.7372179755071811E-2</v>
      </c>
      <c r="C16" s="1" t="s">
        <v>218</v>
      </c>
      <c r="D16" s="158">
        <f>1541/22282</f>
        <v>6.9158962391167755E-2</v>
      </c>
    </row>
    <row r="17" spans="2:2" x14ac:dyDescent="0.2">
      <c r="B17" s="1" t="s">
        <v>367</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topLeftCell="A6" zoomScaleNormal="100" workbookViewId="0">
      <selection activeCell="B43" sqref="B43"/>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39" t="s">
        <v>66</v>
      </c>
      <c r="B1" s="239"/>
      <c r="C1" s="239"/>
      <c r="D1" s="239"/>
      <c r="E1" s="239"/>
      <c r="F1" s="239"/>
      <c r="G1" s="239"/>
      <c r="H1" s="239"/>
      <c r="I1" s="239"/>
      <c r="J1" s="239"/>
      <c r="K1" s="239"/>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67</v>
      </c>
    </row>
    <row r="4" spans="1:32" ht="18" x14ac:dyDescent="0.25">
      <c r="A4" s="87"/>
    </row>
    <row r="5" spans="1:32" ht="15" x14ac:dyDescent="0.25">
      <c r="A5" s="88" t="s">
        <v>68</v>
      </c>
    </row>
    <row r="6" spans="1:32" ht="70.5" customHeight="1" x14ac:dyDescent="0.2">
      <c r="A6" s="272" t="s">
        <v>69</v>
      </c>
      <c r="B6" s="272"/>
      <c r="C6" s="272"/>
      <c r="D6" s="272"/>
    </row>
    <row r="8" spans="1:32" ht="15" x14ac:dyDescent="0.25">
      <c r="A8" s="88" t="s">
        <v>70</v>
      </c>
    </row>
    <row r="9" spans="1:32" ht="91.5" customHeight="1" x14ac:dyDescent="0.2">
      <c r="A9" s="272" t="s">
        <v>71</v>
      </c>
      <c r="B9" s="272"/>
      <c r="C9" s="272"/>
      <c r="D9" s="272"/>
    </row>
    <row r="10" spans="1:32" ht="15.75" customHeight="1" x14ac:dyDescent="0.2">
      <c r="A10" s="89"/>
      <c r="B10" s="89"/>
      <c r="C10" s="89"/>
      <c r="D10" s="89"/>
    </row>
    <row r="11" spans="1:32" ht="30.75" customHeight="1" x14ac:dyDescent="0.2">
      <c r="A11" s="272" t="s">
        <v>72</v>
      </c>
      <c r="B11" s="272"/>
      <c r="C11" s="272"/>
      <c r="D11" s="272"/>
    </row>
    <row r="12" spans="1:32" ht="15" thickBot="1" x14ac:dyDescent="0.25">
      <c r="A12" s="89"/>
      <c r="B12" s="89"/>
      <c r="C12" s="89"/>
      <c r="D12" s="89"/>
    </row>
    <row r="13" spans="1:32" ht="15.75" thickBot="1" x14ac:dyDescent="0.25">
      <c r="A13" s="269" t="s">
        <v>73</v>
      </c>
      <c r="B13" s="270"/>
    </row>
    <row r="14" spans="1:32" ht="15.75" thickBot="1" x14ac:dyDescent="0.25">
      <c r="A14" s="90" t="s">
        <v>74</v>
      </c>
      <c r="B14" s="91" t="s">
        <v>75</v>
      </c>
    </row>
    <row r="15" spans="1:32" ht="15" thickBot="1" x14ac:dyDescent="0.25">
      <c r="A15" s="92" t="s">
        <v>76</v>
      </c>
      <c r="B15" s="93" t="s">
        <v>77</v>
      </c>
    </row>
    <row r="16" spans="1:32" ht="29.25" thickBot="1" x14ac:dyDescent="0.25">
      <c r="A16" s="92" t="s">
        <v>78</v>
      </c>
      <c r="B16" s="93" t="s">
        <v>79</v>
      </c>
    </row>
    <row r="17" spans="1:4" ht="29.25" thickBot="1" x14ac:dyDescent="0.25">
      <c r="A17" s="92" t="s">
        <v>80</v>
      </c>
      <c r="B17" s="93" t="s">
        <v>81</v>
      </c>
    </row>
    <row r="18" spans="1:4" ht="15" thickBot="1" x14ac:dyDescent="0.25">
      <c r="A18" s="92" t="s">
        <v>82</v>
      </c>
      <c r="B18" s="93" t="s">
        <v>83</v>
      </c>
    </row>
    <row r="19" spans="1:4" ht="15" thickBot="1" x14ac:dyDescent="0.25">
      <c r="A19" s="92" t="s">
        <v>84</v>
      </c>
      <c r="B19" s="93" t="s">
        <v>85</v>
      </c>
    </row>
    <row r="20" spans="1:4" ht="29.25" thickBot="1" x14ac:dyDescent="0.25">
      <c r="A20" s="92" t="s">
        <v>86</v>
      </c>
      <c r="B20" s="93" t="s">
        <v>87</v>
      </c>
    </row>
    <row r="21" spans="1:4" ht="15" thickBot="1" x14ac:dyDescent="0.25">
      <c r="A21" s="92" t="s">
        <v>88</v>
      </c>
      <c r="B21" s="93" t="s">
        <v>89</v>
      </c>
    </row>
    <row r="22" spans="1:4" ht="15" thickBot="1" x14ac:dyDescent="0.25">
      <c r="A22" s="92" t="s">
        <v>90</v>
      </c>
      <c r="B22" s="93" t="s">
        <v>91</v>
      </c>
    </row>
    <row r="24" spans="1:4" ht="60" customHeight="1" x14ac:dyDescent="0.2">
      <c r="A24" s="271" t="s">
        <v>92</v>
      </c>
      <c r="B24" s="271"/>
      <c r="C24" s="271"/>
      <c r="D24" s="271"/>
    </row>
    <row r="25" spans="1:4" ht="15" x14ac:dyDescent="0.25">
      <c r="A25" s="94" t="s">
        <v>93</v>
      </c>
      <c r="B25" s="95" t="s">
        <v>94</v>
      </c>
      <c r="C25" s="95" t="s">
        <v>95</v>
      </c>
      <c r="D25" s="95" t="s">
        <v>96</v>
      </c>
    </row>
    <row r="26" spans="1:4" x14ac:dyDescent="0.2">
      <c r="A26" s="96" t="s">
        <v>51</v>
      </c>
      <c r="B26" s="97" t="s">
        <v>97</v>
      </c>
      <c r="C26" s="97" t="s">
        <v>41</v>
      </c>
      <c r="D26" s="97" t="s">
        <v>98</v>
      </c>
    </row>
    <row r="27" spans="1:4" x14ac:dyDescent="0.2">
      <c r="A27" s="96" t="s">
        <v>52</v>
      </c>
      <c r="B27" s="97" t="s">
        <v>97</v>
      </c>
      <c r="C27" s="97" t="s">
        <v>97</v>
      </c>
      <c r="D27" s="97" t="s">
        <v>98</v>
      </c>
    </row>
    <row r="28" spans="1:4" ht="47.25" customHeight="1" x14ac:dyDescent="0.2">
      <c r="A28" s="96" t="s">
        <v>54</v>
      </c>
      <c r="B28" s="97" t="s">
        <v>97</v>
      </c>
      <c r="C28" s="97" t="s">
        <v>97</v>
      </c>
      <c r="D28" s="97" t="s">
        <v>98</v>
      </c>
    </row>
    <row r="29" spans="1:4" x14ac:dyDescent="0.2">
      <c r="A29" s="96" t="s">
        <v>56</v>
      </c>
      <c r="B29" s="97" t="s">
        <v>97</v>
      </c>
      <c r="C29" s="97" t="s">
        <v>97</v>
      </c>
      <c r="D29" s="97" t="s">
        <v>98</v>
      </c>
    </row>
    <row r="30" spans="1:4" x14ac:dyDescent="0.2">
      <c r="A30" s="96" t="s">
        <v>60</v>
      </c>
      <c r="B30" s="97" t="s">
        <v>97</v>
      </c>
      <c r="C30" s="97" t="s">
        <v>41</v>
      </c>
      <c r="D30" s="97" t="s">
        <v>99</v>
      </c>
    </row>
    <row r="31" spans="1:4" x14ac:dyDescent="0.2">
      <c r="A31" s="96" t="s">
        <v>62</v>
      </c>
      <c r="B31" s="97" t="s">
        <v>97</v>
      </c>
      <c r="C31" s="97" t="s">
        <v>97</v>
      </c>
      <c r="D31" s="97" t="s">
        <v>41</v>
      </c>
    </row>
    <row r="32" spans="1:4" x14ac:dyDescent="0.2">
      <c r="A32" s="96" t="s">
        <v>63</v>
      </c>
      <c r="B32" s="97" t="s">
        <v>97</v>
      </c>
      <c r="C32" s="97" t="s">
        <v>97</v>
      </c>
      <c r="D32" s="97" t="s">
        <v>97</v>
      </c>
    </row>
    <row r="33" spans="1:4" x14ac:dyDescent="0.2">
      <c r="A33" s="96" t="s">
        <v>65</v>
      </c>
      <c r="B33" s="97" t="s">
        <v>97</v>
      </c>
      <c r="C33" s="97" t="s">
        <v>97</v>
      </c>
      <c r="D33" s="97" t="s">
        <v>100</v>
      </c>
    </row>
    <row r="35" spans="1:4" x14ac:dyDescent="0.2">
      <c r="A35" s="98" t="s">
        <v>101</v>
      </c>
    </row>
    <row r="36" spans="1:4" ht="15.75" thickBot="1" x14ac:dyDescent="0.3">
      <c r="A36" s="44" t="s">
        <v>102</v>
      </c>
    </row>
    <row r="37" spans="1:4" ht="30.75" thickBot="1" x14ac:dyDescent="0.25">
      <c r="A37" s="99" t="s">
        <v>103</v>
      </c>
      <c r="B37" s="100" t="s">
        <v>104</v>
      </c>
      <c r="C37" s="100" t="s">
        <v>95</v>
      </c>
      <c r="D37" s="101" t="s">
        <v>105</v>
      </c>
    </row>
    <row r="38" spans="1:4" ht="57.75" thickBot="1" x14ac:dyDescent="0.25">
      <c r="A38" s="102" t="s">
        <v>106</v>
      </c>
      <c r="B38" s="103" t="s">
        <v>107</v>
      </c>
      <c r="C38" s="103" t="s">
        <v>108</v>
      </c>
      <c r="D38" s="103" t="s">
        <v>109</v>
      </c>
    </row>
    <row r="39" spans="1:4" ht="43.5" thickBot="1" x14ac:dyDescent="0.25">
      <c r="A39" s="104" t="s">
        <v>110</v>
      </c>
      <c r="B39" s="103" t="s">
        <v>111</v>
      </c>
      <c r="C39" s="103" t="s">
        <v>109</v>
      </c>
      <c r="D39" s="103" t="s">
        <v>109</v>
      </c>
    </row>
    <row r="40" spans="1:4" ht="57.75" thickBot="1" x14ac:dyDescent="0.25">
      <c r="A40" s="104" t="s">
        <v>112</v>
      </c>
      <c r="B40" s="103" t="s">
        <v>113</v>
      </c>
      <c r="C40" s="103" t="s">
        <v>114</v>
      </c>
      <c r="D40" s="103" t="s">
        <v>77</v>
      </c>
    </row>
    <row r="41" spans="1:4" ht="15.75" thickBot="1" x14ac:dyDescent="0.25">
      <c r="A41" s="102" t="s">
        <v>115</v>
      </c>
      <c r="B41" s="103" t="s">
        <v>116</v>
      </c>
      <c r="C41" s="103" t="s">
        <v>117</v>
      </c>
      <c r="D41" s="103" t="s">
        <v>118</v>
      </c>
    </row>
    <row r="42" spans="1:4" ht="43.5" thickBot="1" x14ac:dyDescent="0.25">
      <c r="A42" s="102" t="s">
        <v>119</v>
      </c>
      <c r="B42" s="103" t="s">
        <v>120</v>
      </c>
      <c r="C42" s="103" t="s">
        <v>121</v>
      </c>
      <c r="D42" s="103" t="s">
        <v>121</v>
      </c>
    </row>
    <row r="43" spans="1:4" ht="57.75" thickBot="1" x14ac:dyDescent="0.25">
      <c r="A43" s="102" t="s">
        <v>122</v>
      </c>
      <c r="B43" s="103" t="s">
        <v>123</v>
      </c>
      <c r="C43" s="103" t="s">
        <v>124</v>
      </c>
      <c r="D43" s="103" t="s">
        <v>125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topLeftCell="A3" zoomScaleNormal="100" workbookViewId="0">
      <selection activeCell="G14" sqref="G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368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3" spans="1:27" ht="15" x14ac:dyDescent="0.25">
      <c r="A3" s="193" t="s">
        <v>369</v>
      </c>
      <c r="B3" s="193"/>
      <c r="C3" s="193"/>
      <c r="D3" s="193"/>
      <c r="F3" s="320" t="s">
        <v>370</v>
      </c>
      <c r="G3" s="320"/>
      <c r="H3" s="320"/>
    </row>
    <row r="4" spans="1:27" ht="28.5" x14ac:dyDescent="0.2">
      <c r="A4" s="191" t="s">
        <v>233</v>
      </c>
      <c r="B4" s="191" t="s">
        <v>234</v>
      </c>
      <c r="C4" s="192" t="s">
        <v>235</v>
      </c>
      <c r="D4" s="1"/>
      <c r="F4" s="191" t="s">
        <v>236</v>
      </c>
      <c r="G4" s="192" t="s">
        <v>237</v>
      </c>
      <c r="H4" s="37" t="s">
        <v>238</v>
      </c>
      <c r="O4" s="1"/>
    </row>
    <row r="5" spans="1:27" x14ac:dyDescent="0.2">
      <c r="A5" s="160">
        <v>43313</v>
      </c>
      <c r="B5" s="159">
        <v>3</v>
      </c>
      <c r="C5" s="218" t="s">
        <v>239</v>
      </c>
      <c r="D5" s="161"/>
      <c r="F5" s="1" t="s">
        <v>371</v>
      </c>
      <c r="G5" s="159">
        <v>4</v>
      </c>
      <c r="H5" s="203" t="s">
        <v>289</v>
      </c>
      <c r="O5" s="1"/>
    </row>
    <row r="6" spans="1:27" x14ac:dyDescent="0.2">
      <c r="A6" s="160">
        <v>43344</v>
      </c>
      <c r="B6" s="159">
        <v>19</v>
      </c>
      <c r="C6" s="218" t="s">
        <v>239</v>
      </c>
      <c r="D6" s="161"/>
      <c r="F6" s="1" t="s">
        <v>372</v>
      </c>
      <c r="G6" s="159">
        <v>3</v>
      </c>
      <c r="H6" s="203" t="s">
        <v>239</v>
      </c>
      <c r="O6" s="1"/>
    </row>
    <row r="7" spans="1:27" x14ac:dyDescent="0.2">
      <c r="A7" s="160">
        <v>43374</v>
      </c>
      <c r="B7" s="159">
        <v>23</v>
      </c>
      <c r="C7" s="218" t="s">
        <v>239</v>
      </c>
      <c r="D7" s="161"/>
      <c r="F7" s="1" t="s">
        <v>373</v>
      </c>
      <c r="G7" s="159">
        <v>3</v>
      </c>
      <c r="H7" s="203" t="s">
        <v>239</v>
      </c>
      <c r="O7" s="1"/>
    </row>
    <row r="8" spans="1:27" x14ac:dyDescent="0.2">
      <c r="A8" s="160">
        <v>43405</v>
      </c>
      <c r="B8" s="159">
        <v>4</v>
      </c>
      <c r="C8" s="218" t="s">
        <v>239</v>
      </c>
      <c r="D8" s="161"/>
      <c r="F8" s="1" t="s">
        <v>374</v>
      </c>
      <c r="G8" s="159">
        <v>2</v>
      </c>
      <c r="H8" s="203" t="s">
        <v>239</v>
      </c>
      <c r="O8" s="1"/>
    </row>
    <row r="9" spans="1:27" x14ac:dyDescent="0.2">
      <c r="A9" s="160">
        <v>43435</v>
      </c>
      <c r="B9" s="159">
        <v>4</v>
      </c>
      <c r="C9" s="218" t="s">
        <v>239</v>
      </c>
      <c r="D9" s="161"/>
      <c r="F9" s="1" t="s">
        <v>375</v>
      </c>
      <c r="G9" s="159">
        <v>1</v>
      </c>
      <c r="H9" s="203" t="s">
        <v>239</v>
      </c>
      <c r="O9" s="1"/>
    </row>
    <row r="10" spans="1:27" x14ac:dyDescent="0.2">
      <c r="A10" s="160">
        <v>43466</v>
      </c>
      <c r="B10" s="159">
        <v>3</v>
      </c>
      <c r="C10" s="218" t="s">
        <v>239</v>
      </c>
      <c r="D10" s="161"/>
      <c r="F10" s="1" t="s">
        <v>376</v>
      </c>
      <c r="G10" s="159"/>
      <c r="H10" s="203"/>
      <c r="O10" s="1"/>
    </row>
    <row r="11" spans="1:27" x14ac:dyDescent="0.2">
      <c r="A11" s="160">
        <v>43497</v>
      </c>
      <c r="B11" s="159">
        <v>9</v>
      </c>
      <c r="C11" s="218" t="s">
        <v>239</v>
      </c>
      <c r="D11" s="161"/>
      <c r="G11" s="159"/>
      <c r="H11" s="203"/>
      <c r="O11" s="1"/>
    </row>
    <row r="12" spans="1:27" x14ac:dyDescent="0.2">
      <c r="A12" s="160">
        <v>43525</v>
      </c>
      <c r="B12" s="159">
        <v>9</v>
      </c>
      <c r="C12" s="218" t="s">
        <v>239</v>
      </c>
      <c r="D12" s="161"/>
      <c r="G12" s="159"/>
      <c r="H12" s="203"/>
      <c r="O12" s="1"/>
    </row>
    <row r="13" spans="1:27" x14ac:dyDescent="0.2">
      <c r="A13" s="160">
        <v>43556</v>
      </c>
      <c r="B13" s="159">
        <v>8</v>
      </c>
      <c r="C13" s="218" t="s">
        <v>239</v>
      </c>
      <c r="D13" s="161"/>
      <c r="G13" s="159"/>
      <c r="H13" s="203"/>
      <c r="O13" s="1"/>
    </row>
    <row r="14" spans="1:27" x14ac:dyDescent="0.2">
      <c r="A14" s="160">
        <v>43586</v>
      </c>
      <c r="B14" s="159">
        <v>1</v>
      </c>
      <c r="C14" s="218" t="s">
        <v>239</v>
      </c>
      <c r="D14" s="161"/>
      <c r="G14" s="159"/>
      <c r="H14" s="203"/>
      <c r="O14" s="1"/>
    </row>
    <row r="15" spans="1:27" x14ac:dyDescent="0.2">
      <c r="A15" s="160">
        <v>43617</v>
      </c>
      <c r="B15" s="159">
        <v>2</v>
      </c>
      <c r="C15" s="218" t="s">
        <v>239</v>
      </c>
      <c r="D15" s="161"/>
      <c r="O15" s="1"/>
    </row>
    <row r="16" spans="1:27" x14ac:dyDescent="0.2">
      <c r="A16" s="160">
        <v>43647</v>
      </c>
      <c r="B16" s="159">
        <v>2</v>
      </c>
      <c r="C16" s="218" t="s">
        <v>239</v>
      </c>
      <c r="D16" s="161"/>
      <c r="O16" s="1"/>
    </row>
    <row r="17" spans="1:15" x14ac:dyDescent="0.2">
      <c r="A17" s="160">
        <v>43678</v>
      </c>
      <c r="B17" s="159">
        <v>1</v>
      </c>
      <c r="C17" s="218" t="s">
        <v>239</v>
      </c>
      <c r="D17" s="161"/>
      <c r="O17" s="1"/>
    </row>
    <row r="18" spans="1:15" x14ac:dyDescent="0.2">
      <c r="A18" s="160">
        <v>43709</v>
      </c>
      <c r="B18" s="159">
        <v>0</v>
      </c>
      <c r="C18" s="218" t="s">
        <v>239</v>
      </c>
      <c r="D18" s="161"/>
      <c r="I18" s="39"/>
      <c r="O18" s="1"/>
    </row>
    <row r="19" spans="1:15" x14ac:dyDescent="0.2">
      <c r="A19" s="160">
        <v>43739</v>
      </c>
      <c r="B19" s="159">
        <v>0</v>
      </c>
      <c r="C19" s="218" t="s">
        <v>239</v>
      </c>
      <c r="D19" s="161"/>
      <c r="I19" s="39"/>
      <c r="O19" s="1"/>
    </row>
    <row r="20" spans="1:15" x14ac:dyDescent="0.2">
      <c r="A20" s="160">
        <v>43770</v>
      </c>
      <c r="B20" s="159">
        <v>0</v>
      </c>
      <c r="C20" s="218" t="s">
        <v>239</v>
      </c>
      <c r="D20" s="161"/>
      <c r="I20" s="39"/>
      <c r="O20" s="1"/>
    </row>
    <row r="21" spans="1:15" x14ac:dyDescent="0.2">
      <c r="A21" s="160">
        <v>43800</v>
      </c>
      <c r="B21" s="159">
        <v>0</v>
      </c>
      <c r="C21" s="218" t="s">
        <v>239</v>
      </c>
      <c r="D21" s="161"/>
      <c r="I21" s="39"/>
      <c r="O21" s="1"/>
    </row>
    <row r="22" spans="1:15" x14ac:dyDescent="0.2">
      <c r="A22" s="160">
        <v>43831</v>
      </c>
      <c r="B22" s="159">
        <v>0</v>
      </c>
      <c r="C22" s="218" t="s">
        <v>239</v>
      </c>
      <c r="D22" s="161"/>
      <c r="I22" s="39"/>
      <c r="O22" s="1"/>
    </row>
    <row r="23" spans="1:15" x14ac:dyDescent="0.2">
      <c r="A23" s="160">
        <v>43862</v>
      </c>
      <c r="B23" s="159">
        <v>0</v>
      </c>
      <c r="C23" s="218" t="s">
        <v>239</v>
      </c>
      <c r="D23" s="161"/>
      <c r="O23" s="1"/>
    </row>
    <row r="24" spans="1:15" x14ac:dyDescent="0.2">
      <c r="A24" s="160">
        <v>43891</v>
      </c>
      <c r="B24" s="159">
        <v>0</v>
      </c>
      <c r="C24" s="218" t="s">
        <v>239</v>
      </c>
      <c r="D24" s="161"/>
      <c r="O24" s="1"/>
    </row>
    <row r="25" spans="1:15" x14ac:dyDescent="0.2">
      <c r="A25" s="160">
        <v>43922</v>
      </c>
      <c r="B25" s="159">
        <v>0</v>
      </c>
      <c r="C25" s="218" t="s">
        <v>239</v>
      </c>
      <c r="D25" s="161"/>
      <c r="O25" s="1"/>
    </row>
    <row r="26" spans="1:15" x14ac:dyDescent="0.2">
      <c r="A26" s="160">
        <v>43952</v>
      </c>
      <c r="B26" s="159">
        <v>0</v>
      </c>
      <c r="C26" s="218" t="s">
        <v>239</v>
      </c>
      <c r="D26" s="161"/>
      <c r="O26" s="1"/>
    </row>
    <row r="27" spans="1:15" x14ac:dyDescent="0.2">
      <c r="A27" s="160">
        <v>43983</v>
      </c>
      <c r="B27" s="159">
        <v>0</v>
      </c>
      <c r="C27" s="218" t="s">
        <v>239</v>
      </c>
      <c r="D27" s="161"/>
      <c r="O27" s="1"/>
    </row>
    <row r="28" spans="1:15" x14ac:dyDescent="0.2">
      <c r="A28" s="160">
        <v>44013</v>
      </c>
      <c r="B28" s="159">
        <v>1</v>
      </c>
      <c r="C28" s="218" t="s">
        <v>239</v>
      </c>
      <c r="D28" s="161"/>
      <c r="O28" s="1"/>
    </row>
    <row r="29" spans="1:15" x14ac:dyDescent="0.2">
      <c r="A29" s="160">
        <v>44044</v>
      </c>
      <c r="B29" s="159">
        <v>5</v>
      </c>
      <c r="C29" s="218" t="s">
        <v>239</v>
      </c>
      <c r="D29" s="161"/>
      <c r="O29" s="1"/>
    </row>
    <row r="30" spans="1:15" x14ac:dyDescent="0.2">
      <c r="A30" s="160">
        <v>44075</v>
      </c>
      <c r="B30" s="159">
        <v>8</v>
      </c>
      <c r="C30" s="218" t="s">
        <v>239</v>
      </c>
      <c r="D30" s="161"/>
      <c r="O30" s="1"/>
    </row>
    <row r="31" spans="1:15" x14ac:dyDescent="0.2">
      <c r="A31" s="160">
        <v>44105</v>
      </c>
      <c r="B31" s="159">
        <v>7</v>
      </c>
      <c r="C31" s="218" t="s">
        <v>239</v>
      </c>
      <c r="D31" s="161"/>
      <c r="O31" s="1"/>
    </row>
    <row r="32" spans="1:15" x14ac:dyDescent="0.2">
      <c r="A32" s="160">
        <v>44136</v>
      </c>
      <c r="B32" s="159">
        <v>3</v>
      </c>
      <c r="C32" s="218" t="s">
        <v>239</v>
      </c>
      <c r="D32" s="161"/>
      <c r="O32" s="1"/>
    </row>
    <row r="33" spans="1:15" x14ac:dyDescent="0.2">
      <c r="A33" s="160">
        <v>44166</v>
      </c>
      <c r="B33" s="159">
        <v>3</v>
      </c>
      <c r="C33" s="218" t="s">
        <v>239</v>
      </c>
      <c r="D33" s="161"/>
      <c r="O33" s="1"/>
    </row>
    <row r="34" spans="1:15" x14ac:dyDescent="0.2">
      <c r="A34" s="160">
        <v>44197</v>
      </c>
      <c r="B34" s="159">
        <v>5</v>
      </c>
      <c r="C34" s="218" t="s">
        <v>239</v>
      </c>
      <c r="D34" s="161"/>
      <c r="O34" s="1"/>
    </row>
    <row r="35" spans="1:15" x14ac:dyDescent="0.2">
      <c r="A35" s="160">
        <v>44228</v>
      </c>
      <c r="B35" s="159">
        <v>4</v>
      </c>
      <c r="C35" s="218" t="s">
        <v>239</v>
      </c>
      <c r="D35" s="161"/>
      <c r="O35" s="1"/>
    </row>
    <row r="36" spans="1:15" x14ac:dyDescent="0.2">
      <c r="A36" s="160">
        <v>44256</v>
      </c>
      <c r="B36" s="159">
        <v>3</v>
      </c>
      <c r="C36" s="218" t="s">
        <v>239</v>
      </c>
      <c r="D36" s="161"/>
      <c r="O36" s="1"/>
    </row>
    <row r="37" spans="1:15" x14ac:dyDescent="0.2">
      <c r="A37" s="160">
        <v>44287</v>
      </c>
      <c r="B37" s="159">
        <v>1</v>
      </c>
      <c r="C37" s="218" t="s">
        <v>239</v>
      </c>
      <c r="D37" s="161"/>
      <c r="O37" s="1"/>
    </row>
    <row r="38" spans="1:15" x14ac:dyDescent="0.2">
      <c r="A38" s="160">
        <v>44317</v>
      </c>
      <c r="B38" s="159">
        <v>1</v>
      </c>
      <c r="C38" s="218" t="s">
        <v>239</v>
      </c>
      <c r="D38" s="161"/>
      <c r="O38" s="1"/>
    </row>
    <row r="39" spans="1:15" x14ac:dyDescent="0.2">
      <c r="A39" s="160">
        <v>44348</v>
      </c>
      <c r="B39" s="159">
        <v>1</v>
      </c>
      <c r="C39" s="218" t="s">
        <v>239</v>
      </c>
      <c r="D39" s="161"/>
      <c r="O39" s="1"/>
    </row>
    <row r="40" spans="1:15" x14ac:dyDescent="0.2">
      <c r="A40" s="160">
        <v>44378</v>
      </c>
      <c r="B40" s="159">
        <v>3</v>
      </c>
      <c r="C40" s="218" t="s">
        <v>239</v>
      </c>
      <c r="D40" s="161"/>
      <c r="O40" s="1"/>
    </row>
    <row r="41" spans="1:15" x14ac:dyDescent="0.2">
      <c r="A41" s="160">
        <v>44409</v>
      </c>
      <c r="B41" s="159">
        <v>4</v>
      </c>
      <c r="C41" s="218" t="s">
        <v>239</v>
      </c>
      <c r="D41" s="161"/>
      <c r="O41" s="1"/>
    </row>
    <row r="42" spans="1:15" x14ac:dyDescent="0.2">
      <c r="A42" s="160">
        <v>44440</v>
      </c>
      <c r="B42" s="159">
        <v>5</v>
      </c>
      <c r="C42" s="218" t="s">
        <v>239</v>
      </c>
      <c r="D42" s="161"/>
      <c r="O42" s="1"/>
    </row>
    <row r="43" spans="1:15" x14ac:dyDescent="0.2">
      <c r="A43" s="160">
        <v>44470</v>
      </c>
      <c r="B43" s="159">
        <v>6</v>
      </c>
      <c r="C43" s="218" t="s">
        <v>239</v>
      </c>
      <c r="D43" s="161"/>
      <c r="O43" s="1"/>
    </row>
    <row r="44" spans="1:15" x14ac:dyDescent="0.2">
      <c r="A44" s="160">
        <v>44501</v>
      </c>
      <c r="B44" s="159">
        <v>8</v>
      </c>
      <c r="C44" s="218" t="s">
        <v>239</v>
      </c>
      <c r="D44" s="161"/>
      <c r="O44" s="1"/>
    </row>
    <row r="45" spans="1:15" x14ac:dyDescent="0.2">
      <c r="A45" s="160">
        <v>44531</v>
      </c>
      <c r="B45" s="159">
        <v>6</v>
      </c>
      <c r="C45" s="218" t="s">
        <v>239</v>
      </c>
      <c r="D45" s="161"/>
      <c r="O45" s="1"/>
    </row>
    <row r="46" spans="1:15" x14ac:dyDescent="0.2">
      <c r="A46" s="160">
        <v>44562</v>
      </c>
      <c r="B46" s="159">
        <v>4</v>
      </c>
      <c r="C46" s="218" t="s">
        <v>239</v>
      </c>
      <c r="D46" s="161"/>
      <c r="O46" s="1"/>
    </row>
    <row r="47" spans="1:15" x14ac:dyDescent="0.2">
      <c r="A47" s="160">
        <v>44593</v>
      </c>
      <c r="B47" s="159">
        <v>1</v>
      </c>
      <c r="C47" s="218" t="s">
        <v>239</v>
      </c>
      <c r="D47" s="161"/>
      <c r="O47" s="1"/>
    </row>
    <row r="48" spans="1:15" x14ac:dyDescent="0.2">
      <c r="A48" s="160">
        <v>44621</v>
      </c>
      <c r="B48" s="159">
        <v>0</v>
      </c>
      <c r="C48" s="218" t="s">
        <v>239</v>
      </c>
      <c r="D48" s="161"/>
      <c r="O48" s="1"/>
    </row>
    <row r="49" spans="1:15" x14ac:dyDescent="0.2">
      <c r="A49" s="160">
        <v>44652</v>
      </c>
      <c r="B49" s="159">
        <v>0</v>
      </c>
      <c r="C49" s="218" t="s">
        <v>239</v>
      </c>
      <c r="D49" s="161"/>
      <c r="O49" s="1"/>
    </row>
    <row r="50" spans="1:15" x14ac:dyDescent="0.2">
      <c r="A50" s="160">
        <v>44682</v>
      </c>
      <c r="B50" s="159">
        <v>0</v>
      </c>
      <c r="C50" s="218" t="s">
        <v>239</v>
      </c>
      <c r="D50" s="161"/>
      <c r="O50" s="1"/>
    </row>
    <row r="51" spans="1:15" x14ac:dyDescent="0.2">
      <c r="A51" s="160">
        <v>44713</v>
      </c>
      <c r="B51" s="159">
        <v>1</v>
      </c>
      <c r="C51" s="218" t="s">
        <v>239</v>
      </c>
      <c r="D51" s="161"/>
      <c r="O51" s="1"/>
    </row>
    <row r="52" spans="1:15" x14ac:dyDescent="0.2">
      <c r="A52" s="160">
        <v>44743</v>
      </c>
      <c r="B52" s="159">
        <v>1</v>
      </c>
      <c r="C52" s="218" t="s">
        <v>239</v>
      </c>
      <c r="D52" s="161"/>
      <c r="O52" s="1"/>
    </row>
    <row r="53" spans="1:15" x14ac:dyDescent="0.2">
      <c r="A53" s="160">
        <v>44774</v>
      </c>
      <c r="B53" s="159">
        <v>4</v>
      </c>
      <c r="C53" s="218" t="s">
        <v>239</v>
      </c>
      <c r="D53" s="161"/>
      <c r="O53" s="1"/>
    </row>
    <row r="54" spans="1:15" x14ac:dyDescent="0.2">
      <c r="A54" s="160">
        <v>44805</v>
      </c>
      <c r="B54" s="159">
        <v>4</v>
      </c>
      <c r="C54" s="218" t="s">
        <v>239</v>
      </c>
      <c r="D54" s="161"/>
      <c r="O54" s="1"/>
    </row>
    <row r="55" spans="1:15" x14ac:dyDescent="0.2">
      <c r="A55" s="160">
        <v>44835</v>
      </c>
      <c r="B55" s="159">
        <v>4</v>
      </c>
      <c r="C55" s="218" t="s">
        <v>239</v>
      </c>
      <c r="D55" s="161"/>
      <c r="O55" s="1"/>
    </row>
    <row r="56" spans="1:15" x14ac:dyDescent="0.2">
      <c r="A56" s="160">
        <v>44866</v>
      </c>
      <c r="B56" s="159">
        <v>1</v>
      </c>
      <c r="C56" s="218" t="s">
        <v>239</v>
      </c>
      <c r="D56" s="161"/>
      <c r="O56" s="1"/>
    </row>
    <row r="57" spans="1:15" x14ac:dyDescent="0.2">
      <c r="A57" s="160">
        <v>44896</v>
      </c>
      <c r="B57" s="159">
        <v>1</v>
      </c>
      <c r="C57" s="218" t="s">
        <v>239</v>
      </c>
      <c r="D57" s="161"/>
      <c r="O57" s="1"/>
    </row>
    <row r="58" spans="1:15" x14ac:dyDescent="0.2">
      <c r="A58" s="160">
        <v>44927</v>
      </c>
      <c r="B58" s="159">
        <v>1</v>
      </c>
      <c r="C58" s="218" t="s">
        <v>239</v>
      </c>
      <c r="D58" s="161"/>
      <c r="O58" s="1"/>
    </row>
    <row r="59" spans="1:15" x14ac:dyDescent="0.2">
      <c r="A59" s="160">
        <v>44958</v>
      </c>
      <c r="B59" s="159">
        <v>2</v>
      </c>
      <c r="C59" s="218" t="s">
        <v>239</v>
      </c>
      <c r="D59" s="161"/>
      <c r="O59" s="1"/>
    </row>
    <row r="60" spans="1:15" x14ac:dyDescent="0.2">
      <c r="A60" s="160">
        <v>44986</v>
      </c>
      <c r="B60" s="159">
        <v>4</v>
      </c>
      <c r="C60" s="218" t="s">
        <v>239</v>
      </c>
      <c r="D60" s="161"/>
      <c r="O60" s="1"/>
    </row>
    <row r="61" spans="1:15" x14ac:dyDescent="0.2">
      <c r="A61" s="160">
        <v>45017</v>
      </c>
      <c r="B61" s="159">
        <v>4</v>
      </c>
      <c r="C61" s="218" t="s">
        <v>239</v>
      </c>
      <c r="D61" s="161"/>
      <c r="O61" s="1"/>
    </row>
    <row r="62" spans="1:15" x14ac:dyDescent="0.2">
      <c r="A62" s="160">
        <v>45047</v>
      </c>
      <c r="B62" s="159">
        <v>5</v>
      </c>
      <c r="C62" s="218" t="s">
        <v>239</v>
      </c>
      <c r="D62" s="161"/>
      <c r="O62" s="1"/>
    </row>
    <row r="63" spans="1:15" x14ac:dyDescent="0.2">
      <c r="A63" s="160">
        <v>45078</v>
      </c>
      <c r="B63" s="159">
        <v>2</v>
      </c>
      <c r="C63" s="218" t="s">
        <v>239</v>
      </c>
      <c r="D63" s="1"/>
      <c r="O63" s="1"/>
    </row>
    <row r="64" spans="1:15" x14ac:dyDescent="0.2">
      <c r="A64" s="160">
        <v>45108</v>
      </c>
      <c r="B64" s="159">
        <v>1</v>
      </c>
      <c r="C64" s="218" t="s">
        <v>239</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K26" sqref="K26"/>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9" t="s">
        <v>377</v>
      </c>
      <c r="B1" s="239"/>
      <c r="C1" s="239"/>
      <c r="D1" s="239"/>
      <c r="E1" s="239"/>
      <c r="F1" s="239"/>
      <c r="G1" s="239"/>
      <c r="H1" s="239"/>
      <c r="I1" s="239"/>
      <c r="J1" s="239"/>
      <c r="K1" s="239"/>
      <c r="L1" s="239"/>
      <c r="M1" s="239"/>
      <c r="N1" s="239"/>
      <c r="O1" s="239"/>
      <c r="P1" s="239"/>
      <c r="Q1" s="239"/>
      <c r="R1" s="239"/>
      <c r="S1" s="239"/>
      <c r="T1" s="239"/>
      <c r="U1" s="239"/>
      <c r="V1" s="239"/>
      <c r="W1" s="239"/>
      <c r="X1" s="239"/>
      <c r="Y1" s="239"/>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K18" sqref="K18"/>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39" t="s">
        <v>126</v>
      </c>
      <c r="B1" s="239"/>
      <c r="C1" s="239"/>
      <c r="D1" s="239"/>
      <c r="E1" s="239"/>
      <c r="F1" s="239"/>
      <c r="G1" s="239"/>
      <c r="H1" s="239"/>
      <c r="I1" s="239"/>
      <c r="J1" s="239"/>
      <c r="K1" s="239"/>
      <c r="L1" s="239"/>
      <c r="M1" s="239"/>
      <c r="N1" s="239"/>
      <c r="O1" s="239"/>
      <c r="P1" s="239"/>
      <c r="Q1" s="239"/>
      <c r="R1" s="239"/>
    </row>
    <row r="2" spans="1:28" ht="15" thickBot="1" x14ac:dyDescent="0.25">
      <c r="B2" s="38"/>
      <c r="C2" s="38"/>
      <c r="P2" s="1"/>
      <c r="Q2" s="40"/>
    </row>
    <row r="3" spans="1:28" ht="12.75" customHeight="1" thickBot="1" x14ac:dyDescent="0.25">
      <c r="A3" s="303" t="s">
        <v>28</v>
      </c>
      <c r="B3" s="259" t="s">
        <v>29</v>
      </c>
      <c r="C3" s="260"/>
      <c r="D3" s="298" t="s">
        <v>30</v>
      </c>
      <c r="E3" s="299"/>
      <c r="F3" s="212" t="s">
        <v>32</v>
      </c>
      <c r="G3" s="211" t="s">
        <v>32</v>
      </c>
      <c r="H3" s="211" t="s">
        <v>32</v>
      </c>
      <c r="I3" s="276" t="s">
        <v>32</v>
      </c>
      <c r="J3" s="276"/>
      <c r="K3" s="276" t="s">
        <v>33</v>
      </c>
      <c r="L3" s="276"/>
      <c r="M3" s="211" t="s">
        <v>34</v>
      </c>
      <c r="N3" s="211" t="s">
        <v>34</v>
      </c>
      <c r="O3" s="213" t="s">
        <v>34</v>
      </c>
      <c r="P3" s="1"/>
      <c r="Q3" s="40"/>
      <c r="W3" s="307" t="s">
        <v>51</v>
      </c>
      <c r="X3" s="307"/>
      <c r="Y3" s="307"/>
      <c r="Z3" s="307"/>
      <c r="AA3" s="307"/>
      <c r="AB3" s="307"/>
    </row>
    <row r="4" spans="1:28" ht="14.45" customHeight="1" thickBot="1" x14ac:dyDescent="0.3">
      <c r="A4" s="304"/>
      <c r="B4" s="261" t="s">
        <v>36</v>
      </c>
      <c r="C4" s="263" t="s">
        <v>37</v>
      </c>
      <c r="D4" s="310" t="s">
        <v>36</v>
      </c>
      <c r="E4" s="312" t="s">
        <v>37</v>
      </c>
      <c r="F4" s="287" t="s">
        <v>38</v>
      </c>
      <c r="G4" s="285" t="s">
        <v>39</v>
      </c>
      <c r="H4" s="285" t="s">
        <v>40</v>
      </c>
      <c r="I4" s="277" t="s">
        <v>127</v>
      </c>
      <c r="J4" s="278"/>
      <c r="K4" s="277" t="s">
        <v>42</v>
      </c>
      <c r="L4" s="278"/>
      <c r="M4" s="289" t="s">
        <v>43</v>
      </c>
      <c r="N4" s="289" t="s">
        <v>44</v>
      </c>
      <c r="O4" s="280" t="s">
        <v>45</v>
      </c>
      <c r="P4" s="1"/>
      <c r="Q4" s="40"/>
      <c r="U4" s="1" t="s">
        <v>128</v>
      </c>
      <c r="V4" s="44" t="s">
        <v>129</v>
      </c>
      <c r="W4" s="44" t="s">
        <v>47</v>
      </c>
      <c r="X4" s="44" t="s">
        <v>49</v>
      </c>
      <c r="Y4" s="44" t="s">
        <v>130</v>
      </c>
      <c r="Z4" s="44" t="s">
        <v>131</v>
      </c>
      <c r="AA4" s="44" t="s">
        <v>132</v>
      </c>
    </row>
    <row r="5" spans="1:28" ht="27" customHeight="1" thickBot="1" x14ac:dyDescent="0.25">
      <c r="A5" s="305"/>
      <c r="B5" s="306"/>
      <c r="C5" s="309"/>
      <c r="D5" s="311"/>
      <c r="E5" s="313"/>
      <c r="F5" s="288"/>
      <c r="G5" s="286"/>
      <c r="H5" s="286"/>
      <c r="I5" s="45" t="s">
        <v>47</v>
      </c>
      <c r="J5" s="45" t="s">
        <v>48</v>
      </c>
      <c r="K5" s="207" t="s">
        <v>49</v>
      </c>
      <c r="L5" s="207" t="s">
        <v>50</v>
      </c>
      <c r="M5" s="290"/>
      <c r="N5" s="290"/>
      <c r="O5" s="281"/>
      <c r="P5" s="1"/>
      <c r="Q5" s="40"/>
      <c r="U5" s="1">
        <v>0</v>
      </c>
      <c r="V5" s="46">
        <f>H6</f>
        <v>21.45473149815151</v>
      </c>
      <c r="W5" s="46">
        <f>I6</f>
        <v>26.851785714285715</v>
      </c>
      <c r="X5" s="46">
        <f>K6</f>
        <v>29.536964285714287</v>
      </c>
      <c r="Y5" s="46">
        <f>M6</f>
        <v>32.490660714285717</v>
      </c>
      <c r="Z5" s="46">
        <f>N6</f>
        <v>35.739726785714289</v>
      </c>
      <c r="AA5" s="46">
        <f>O6</f>
        <v>39.313699464285719</v>
      </c>
    </row>
    <row r="6" spans="1:28" x14ac:dyDescent="0.2">
      <c r="A6" s="47" t="s">
        <v>51</v>
      </c>
      <c r="B6" s="48">
        <f>'1A'!B11</f>
        <v>14.79</v>
      </c>
      <c r="C6" s="49">
        <f>'1A'!C11</f>
        <v>30763.199999999997</v>
      </c>
      <c r="D6" s="50">
        <f>'1A'!D11</f>
        <v>26.851785714285715</v>
      </c>
      <c r="E6" s="141">
        <f>'1A'!E11</f>
        <v>55851.71428571429</v>
      </c>
      <c r="F6" s="51">
        <f>'1A'!F11</f>
        <v>21.45473149815151</v>
      </c>
      <c r="G6" s="52">
        <f>'1A'!G11</f>
        <v>21.45473149815151</v>
      </c>
      <c r="H6" s="52">
        <f>'1A'!H11</f>
        <v>21.45473149815151</v>
      </c>
      <c r="I6" s="53">
        <f>'1A'!I11</f>
        <v>26.851785714285715</v>
      </c>
      <c r="J6" s="54">
        <f>'1A'!J11</f>
        <v>28.194375000000001</v>
      </c>
      <c r="K6" s="53">
        <f>'1A'!K11</f>
        <v>29.536964285714287</v>
      </c>
      <c r="L6" s="53">
        <f>'1A'!L11</f>
        <v>31.013812500000004</v>
      </c>
      <c r="M6" s="53">
        <f>'1A'!M11</f>
        <v>32.490660714285717</v>
      </c>
      <c r="N6" s="53">
        <f>'1A'!N11</f>
        <v>35.739726785714289</v>
      </c>
      <c r="O6" s="53">
        <f>'1A'!O11</f>
        <v>39.313699464285719</v>
      </c>
      <c r="P6" s="46"/>
      <c r="Q6" s="158"/>
      <c r="U6" s="1">
        <v>1</v>
      </c>
      <c r="V6" s="46">
        <f t="shared" ref="V6:V25" si="0">V5*1.025</f>
        <v>21.991099785605297</v>
      </c>
      <c r="W6" s="46">
        <f t="shared" ref="W6:W25" si="1">W5*1.025</f>
        <v>27.523080357142856</v>
      </c>
      <c r="X6" s="46">
        <f t="shared" ref="X6:X25" si="2">X5*1.025</f>
        <v>30.275388392857142</v>
      </c>
      <c r="Y6" s="46">
        <f t="shared" ref="Y6:Y25" si="3">Y5*1.025</f>
        <v>33.302927232142856</v>
      </c>
      <c r="Z6" s="46">
        <f t="shared" ref="Z6:Z25" si="4">Z5*1.025</f>
        <v>36.633219955357141</v>
      </c>
      <c r="AA6" s="46">
        <f t="shared" ref="AA6:AA25" si="5">AA5*1.025</f>
        <v>40.296541950892859</v>
      </c>
    </row>
    <row r="7" spans="1:28" x14ac:dyDescent="0.2">
      <c r="A7" s="282" t="s">
        <v>133</v>
      </c>
      <c r="B7" s="283"/>
      <c r="C7" s="283"/>
      <c r="D7" s="283"/>
      <c r="E7" s="283"/>
      <c r="F7" s="283"/>
      <c r="G7" s="283"/>
      <c r="H7" s="284"/>
      <c r="I7" s="55">
        <f>I6-H6</f>
        <v>5.3970542161342046</v>
      </c>
      <c r="J7" s="55">
        <f t="shared" ref="J7:O7" si="6">J6-I6</f>
        <v>1.3425892857142863</v>
      </c>
      <c r="K7" s="55">
        <f t="shared" si="6"/>
        <v>1.3425892857142863</v>
      </c>
      <c r="L7" s="55">
        <f>L6-K6</f>
        <v>1.4768482142857167</v>
      </c>
      <c r="M7" s="55">
        <f t="shared" si="6"/>
        <v>1.4768482142857131</v>
      </c>
      <c r="N7" s="55">
        <f t="shared" si="6"/>
        <v>3.2490660714285724</v>
      </c>
      <c r="O7" s="55">
        <f t="shared" si="6"/>
        <v>3.5739726785714296</v>
      </c>
      <c r="P7" s="1"/>
      <c r="U7" s="1">
        <v>2</v>
      </c>
      <c r="V7" s="46">
        <f t="shared" si="0"/>
        <v>22.540877280245429</v>
      </c>
      <c r="W7" s="46">
        <f t="shared" si="1"/>
        <v>28.211157366071426</v>
      </c>
      <c r="X7" s="46">
        <f t="shared" si="2"/>
        <v>31.032273102678566</v>
      </c>
      <c r="Y7" s="46">
        <f t="shared" si="3"/>
        <v>34.135500412946428</v>
      </c>
      <c r="Z7" s="46">
        <f t="shared" si="4"/>
        <v>37.549050454241069</v>
      </c>
      <c r="AA7" s="46">
        <f t="shared" si="5"/>
        <v>41.303955499665179</v>
      </c>
    </row>
    <row r="8" spans="1:28" x14ac:dyDescent="0.2">
      <c r="A8" s="56" t="s">
        <v>60</v>
      </c>
      <c r="B8" s="57">
        <f>'1A'!B19</f>
        <v>14.79</v>
      </c>
      <c r="C8" s="58">
        <f>'1A'!C19</f>
        <v>30763.199999999997</v>
      </c>
      <c r="D8" s="57">
        <f>'1A'!D19</f>
        <v>24.410714285714285</v>
      </c>
      <c r="E8" s="58">
        <f>'1A'!E19</f>
        <v>50774.28571428571</v>
      </c>
      <c r="F8" s="59">
        <f>'1A'!F19</f>
        <v>19.504301361955918</v>
      </c>
      <c r="G8" s="60">
        <f>'1A'!G19</f>
        <v>19.504301361955918</v>
      </c>
      <c r="H8" s="60">
        <f>'1A'!H19</f>
        <v>19.504301361955918</v>
      </c>
      <c r="I8" s="61">
        <f>'1A'!I19</f>
        <v>24.410714285714285</v>
      </c>
      <c r="J8" s="61">
        <f>'1A'!J19</f>
        <v>25.631250000000001</v>
      </c>
      <c r="K8" s="61">
        <f>'1A'!K19</f>
        <v>26.851785714285715</v>
      </c>
      <c r="L8" s="61">
        <f>'1A'!L19</f>
        <v>28.194375000000001</v>
      </c>
      <c r="M8" s="61">
        <f>'1A'!M19</f>
        <v>29.536964285714287</v>
      </c>
      <c r="N8" s="61">
        <f>'1A'!N19</f>
        <v>32.490660714285717</v>
      </c>
      <c r="O8" s="62">
        <f>'1A'!O19</f>
        <v>35.739726785714289</v>
      </c>
      <c r="P8" s="1"/>
      <c r="U8" s="1">
        <v>3</v>
      </c>
      <c r="V8" s="46">
        <f t="shared" si="0"/>
        <v>23.104399212251561</v>
      </c>
      <c r="W8" s="46">
        <f t="shared" si="1"/>
        <v>28.916436300223207</v>
      </c>
      <c r="X8" s="46">
        <f t="shared" si="2"/>
        <v>31.808079930245526</v>
      </c>
      <c r="Y8" s="46">
        <f t="shared" si="3"/>
        <v>34.988887923270084</v>
      </c>
      <c r="Z8" s="46">
        <f t="shared" si="4"/>
        <v>38.487776715597093</v>
      </c>
      <c r="AA8" s="46">
        <f t="shared" si="5"/>
        <v>42.336554387156802</v>
      </c>
    </row>
    <row r="9" spans="1:28" x14ac:dyDescent="0.2">
      <c r="A9" s="282" t="s">
        <v>133</v>
      </c>
      <c r="B9" s="283"/>
      <c r="C9" s="283"/>
      <c r="D9" s="283"/>
      <c r="E9" s="283"/>
      <c r="F9" s="283"/>
      <c r="G9" s="283"/>
      <c r="H9" s="284"/>
      <c r="I9" s="55">
        <f>I8-H8</f>
        <v>4.9064129237583671</v>
      </c>
      <c r="J9" s="55">
        <f t="shared" ref="J9:O9" si="7">J8-I8</f>
        <v>1.2205357142857167</v>
      </c>
      <c r="K9" s="55">
        <f t="shared" si="7"/>
        <v>1.2205357142857132</v>
      </c>
      <c r="L9" s="55">
        <f>L8-K8</f>
        <v>1.3425892857142863</v>
      </c>
      <c r="M9" s="55">
        <f>M8-L8</f>
        <v>1.3425892857142863</v>
      </c>
      <c r="N9" s="55">
        <f t="shared" si="7"/>
        <v>2.9536964285714298</v>
      </c>
      <c r="O9" s="55">
        <f t="shared" si="7"/>
        <v>3.2490660714285724</v>
      </c>
      <c r="P9" s="1"/>
      <c r="U9" s="1">
        <v>4</v>
      </c>
      <c r="V9" s="46">
        <f t="shared" si="0"/>
        <v>23.68200919255785</v>
      </c>
      <c r="W9" s="46">
        <f t="shared" si="1"/>
        <v>29.639347207728786</v>
      </c>
      <c r="X9" s="46">
        <f t="shared" si="2"/>
        <v>32.603281928501659</v>
      </c>
      <c r="Y9" s="46">
        <f t="shared" si="3"/>
        <v>35.863610121351833</v>
      </c>
      <c r="Z9" s="46">
        <f t="shared" si="4"/>
        <v>39.449971133487018</v>
      </c>
      <c r="AA9" s="46">
        <f t="shared" si="5"/>
        <v>43.394968246835717</v>
      </c>
    </row>
    <row r="10" spans="1:28" x14ac:dyDescent="0.2">
      <c r="P10" s="1"/>
      <c r="Q10" s="40"/>
      <c r="U10" s="1">
        <v>5</v>
      </c>
      <c r="V10" s="46">
        <f t="shared" si="0"/>
        <v>24.274059422371792</v>
      </c>
      <c r="W10" s="46">
        <f t="shared" si="1"/>
        <v>30.380330887922003</v>
      </c>
      <c r="X10" s="46">
        <f t="shared" si="2"/>
        <v>33.418363976714197</v>
      </c>
      <c r="Y10" s="46">
        <f t="shared" si="3"/>
        <v>36.760200374385626</v>
      </c>
      <c r="Z10" s="46">
        <f t="shared" si="4"/>
        <v>40.436220411824188</v>
      </c>
      <c r="AA10" s="46">
        <f t="shared" si="5"/>
        <v>44.479842453006604</v>
      </c>
    </row>
    <row r="11" spans="1:28" x14ac:dyDescent="0.2">
      <c r="P11" s="1"/>
      <c r="Q11" s="40"/>
      <c r="U11" s="1">
        <v>6</v>
      </c>
      <c r="V11" s="46">
        <f t="shared" si="0"/>
        <v>24.880910907931085</v>
      </c>
      <c r="W11" s="46">
        <f t="shared" si="1"/>
        <v>31.139839160120051</v>
      </c>
      <c r="X11" s="46">
        <f t="shared" si="2"/>
        <v>34.253823076132051</v>
      </c>
      <c r="Y11" s="46">
        <f t="shared" si="3"/>
        <v>37.679205383745263</v>
      </c>
      <c r="Z11" s="46">
        <f t="shared" si="4"/>
        <v>41.447125922119788</v>
      </c>
      <c r="AA11" s="46">
        <f t="shared" si="5"/>
        <v>45.591838514331762</v>
      </c>
    </row>
    <row r="12" spans="1:28" x14ac:dyDescent="0.2">
      <c r="P12" s="1"/>
      <c r="Q12" s="40"/>
      <c r="U12" s="1">
        <v>7</v>
      </c>
      <c r="V12" s="46">
        <f t="shared" si="0"/>
        <v>25.502933680629361</v>
      </c>
      <c r="W12" s="46">
        <f t="shared" si="1"/>
        <v>31.918335139123048</v>
      </c>
      <c r="X12" s="46">
        <f t="shared" si="2"/>
        <v>35.110168653035352</v>
      </c>
      <c r="Y12" s="46">
        <f t="shared" si="3"/>
        <v>38.621185518338891</v>
      </c>
      <c r="Z12" s="46">
        <f t="shared" si="4"/>
        <v>42.483304070172778</v>
      </c>
      <c r="AA12" s="46">
        <f t="shared" si="5"/>
        <v>46.731634477190049</v>
      </c>
    </row>
    <row r="13" spans="1:28" x14ac:dyDescent="0.2">
      <c r="P13" s="1"/>
      <c r="Q13" s="40"/>
      <c r="U13" s="1">
        <v>8</v>
      </c>
      <c r="V13" s="46">
        <f t="shared" si="0"/>
        <v>26.140507022645092</v>
      </c>
      <c r="W13" s="46">
        <f t="shared" si="1"/>
        <v>32.716293517601123</v>
      </c>
      <c r="X13" s="46">
        <f t="shared" si="2"/>
        <v>35.987922869361235</v>
      </c>
      <c r="Y13" s="46">
        <f t="shared" si="3"/>
        <v>39.586715156297359</v>
      </c>
      <c r="Z13" s="46">
        <f t="shared" si="4"/>
        <v>43.545386671927091</v>
      </c>
      <c r="AA13" s="46">
        <f t="shared" si="5"/>
        <v>47.899925339119797</v>
      </c>
    </row>
    <row r="14" spans="1:28" ht="16.5" thickBot="1" x14ac:dyDescent="0.3">
      <c r="A14" s="28" t="s">
        <v>134</v>
      </c>
      <c r="B14" s="28"/>
      <c r="C14" s="28"/>
      <c r="D14" s="28"/>
      <c r="E14" s="28"/>
      <c r="F14" s="28"/>
      <c r="G14" s="28"/>
      <c r="H14" s="28"/>
      <c r="I14" s="28"/>
      <c r="J14" s="28"/>
      <c r="K14" s="28"/>
      <c r="L14" s="28"/>
      <c r="M14" s="28"/>
      <c r="N14" s="28"/>
      <c r="O14" s="28"/>
      <c r="P14" s="28"/>
      <c r="Q14" s="28"/>
      <c r="R14" s="28"/>
      <c r="S14" s="28"/>
      <c r="T14" s="28"/>
      <c r="U14" s="1">
        <v>9</v>
      </c>
      <c r="V14" s="46">
        <f t="shared" si="0"/>
        <v>26.794019698211219</v>
      </c>
      <c r="W14" s="46">
        <f t="shared" si="1"/>
        <v>33.534200855541151</v>
      </c>
      <c r="X14" s="46">
        <f t="shared" si="2"/>
        <v>36.887620941095264</v>
      </c>
      <c r="Y14" s="46">
        <f t="shared" si="3"/>
        <v>40.576383035204792</v>
      </c>
      <c r="Z14" s="46">
        <f t="shared" si="4"/>
        <v>44.634021338725262</v>
      </c>
      <c r="AA14" s="46">
        <f t="shared" si="5"/>
        <v>49.097423472597789</v>
      </c>
    </row>
    <row r="15" spans="1:28" ht="15.75" thickBot="1" x14ac:dyDescent="0.3">
      <c r="A15" s="295" t="s">
        <v>135</v>
      </c>
      <c r="B15" s="300" t="s">
        <v>32</v>
      </c>
      <c r="C15" s="279"/>
      <c r="D15" s="279"/>
      <c r="E15" s="279" t="s">
        <v>32</v>
      </c>
      <c r="F15" s="279"/>
      <c r="G15" s="279"/>
      <c r="H15" s="279" t="s">
        <v>33</v>
      </c>
      <c r="I15" s="279"/>
      <c r="J15" s="279"/>
      <c r="K15" s="279" t="s">
        <v>34</v>
      </c>
      <c r="L15" s="279"/>
      <c r="M15" s="279"/>
      <c r="N15" s="279" t="s">
        <v>34</v>
      </c>
      <c r="O15" s="279"/>
      <c r="P15" s="294"/>
      <c r="Q15" s="279" t="s">
        <v>34</v>
      </c>
      <c r="R15" s="279"/>
      <c r="S15" s="294"/>
      <c r="T15" s="63"/>
      <c r="U15" s="1">
        <v>10</v>
      </c>
      <c r="V15" s="46">
        <f t="shared" si="0"/>
        <v>27.463870190666498</v>
      </c>
      <c r="W15" s="46">
        <f t="shared" si="1"/>
        <v>34.372555876929674</v>
      </c>
      <c r="X15" s="46">
        <f t="shared" si="2"/>
        <v>37.809811464622641</v>
      </c>
      <c r="Y15" s="46">
        <f t="shared" si="3"/>
        <v>41.590792611084908</v>
      </c>
      <c r="Z15" s="46">
        <f t="shared" si="4"/>
        <v>45.749871872193388</v>
      </c>
      <c r="AA15" s="46">
        <f t="shared" si="5"/>
        <v>50.324859059412731</v>
      </c>
    </row>
    <row r="16" spans="1:28" ht="15" x14ac:dyDescent="0.2">
      <c r="A16" s="296"/>
      <c r="B16" s="301" t="s">
        <v>136</v>
      </c>
      <c r="C16" s="302"/>
      <c r="D16" s="302"/>
      <c r="E16" s="273" t="s">
        <v>127</v>
      </c>
      <c r="F16" s="274"/>
      <c r="G16" s="275"/>
      <c r="H16" s="273" t="s">
        <v>42</v>
      </c>
      <c r="I16" s="274"/>
      <c r="J16" s="275"/>
      <c r="K16" s="291" t="s">
        <v>137</v>
      </c>
      <c r="L16" s="292"/>
      <c r="M16" s="293"/>
      <c r="N16" s="291" t="s">
        <v>44</v>
      </c>
      <c r="O16" s="292"/>
      <c r="P16" s="293"/>
      <c r="Q16" s="291" t="s">
        <v>138</v>
      </c>
      <c r="R16" s="292"/>
      <c r="S16" s="293"/>
      <c r="T16" s="64"/>
      <c r="U16" s="1">
        <v>11</v>
      </c>
      <c r="V16" s="46">
        <f t="shared" si="0"/>
        <v>28.150466945433159</v>
      </c>
      <c r="W16" s="46">
        <f t="shared" si="1"/>
        <v>35.231869773852914</v>
      </c>
      <c r="X16" s="46">
        <f t="shared" si="2"/>
        <v>38.7550567512382</v>
      </c>
      <c r="Y16" s="46">
        <f t="shared" si="3"/>
        <v>42.630562426362026</v>
      </c>
      <c r="Z16" s="46">
        <f t="shared" si="4"/>
        <v>46.893618668998222</v>
      </c>
      <c r="AA16" s="46">
        <f t="shared" si="5"/>
        <v>51.582980535898045</v>
      </c>
    </row>
    <row r="17" spans="1:27" ht="15" thickBot="1" x14ac:dyDescent="0.25">
      <c r="A17" s="297"/>
      <c r="B17" s="65" t="s">
        <v>139</v>
      </c>
      <c r="C17" s="66" t="s">
        <v>140</v>
      </c>
      <c r="D17" s="66" t="s">
        <v>141</v>
      </c>
      <c r="E17" s="67" t="s">
        <v>139</v>
      </c>
      <c r="F17" s="68" t="s">
        <v>140</v>
      </c>
      <c r="G17" s="69" t="s">
        <v>141</v>
      </c>
      <c r="H17" s="66" t="s">
        <v>139</v>
      </c>
      <c r="I17" s="66" t="s">
        <v>140</v>
      </c>
      <c r="J17" s="70" t="s">
        <v>141</v>
      </c>
      <c r="K17" s="65" t="s">
        <v>139</v>
      </c>
      <c r="L17" s="66" t="s">
        <v>140</v>
      </c>
      <c r="M17" s="70" t="s">
        <v>141</v>
      </c>
      <c r="N17" s="65" t="s">
        <v>139</v>
      </c>
      <c r="O17" s="66" t="s">
        <v>140</v>
      </c>
      <c r="P17" s="70" t="s">
        <v>141</v>
      </c>
      <c r="Q17" s="65" t="s">
        <v>139</v>
      </c>
      <c r="R17" s="66" t="s">
        <v>140</v>
      </c>
      <c r="S17" s="70" t="s">
        <v>141</v>
      </c>
      <c r="T17" s="71"/>
      <c r="U17" s="1">
        <v>12</v>
      </c>
      <c r="V17" s="46">
        <f t="shared" si="0"/>
        <v>28.854228619068987</v>
      </c>
      <c r="W17" s="46">
        <f t="shared" si="1"/>
        <v>36.112666518199234</v>
      </c>
      <c r="X17" s="46">
        <f t="shared" si="2"/>
        <v>39.723933170019151</v>
      </c>
      <c r="Y17" s="46">
        <f t="shared" si="3"/>
        <v>43.696326487021075</v>
      </c>
      <c r="Z17" s="46">
        <f t="shared" si="4"/>
        <v>48.065959135723176</v>
      </c>
      <c r="AA17" s="46">
        <f t="shared" si="5"/>
        <v>52.872555049295492</v>
      </c>
    </row>
    <row r="18" spans="1:27" x14ac:dyDescent="0.2">
      <c r="A18" s="72" t="s">
        <v>142</v>
      </c>
      <c r="B18" s="73">
        <f>H6</f>
        <v>21.45473149815151</v>
      </c>
      <c r="C18" s="73">
        <f>MEDIAN(B18,D18)</f>
        <v>22.279565355201537</v>
      </c>
      <c r="D18" s="73">
        <f>B18*((1.025)^3)</f>
        <v>23.104399212251565</v>
      </c>
      <c r="E18" s="74">
        <f>I6</f>
        <v>26.851785714285715</v>
      </c>
      <c r="F18" s="73">
        <f>MEDIAN(E18,G18)</f>
        <v>27.884111007254461</v>
      </c>
      <c r="G18" s="75">
        <f>E18*((1.025)^3)</f>
        <v>28.916436300223211</v>
      </c>
      <c r="H18" s="73">
        <f>K6</f>
        <v>29.536964285714287</v>
      </c>
      <c r="I18" s="73">
        <f>MEDIAN(H18,J18)</f>
        <v>30.672522107979908</v>
      </c>
      <c r="J18" s="75">
        <f>H18*((1.025)^3)</f>
        <v>31.808079930245533</v>
      </c>
      <c r="K18" s="74">
        <f>M6</f>
        <v>32.490660714285717</v>
      </c>
      <c r="L18" s="73">
        <f>MEDIAN(K18,M18)</f>
        <v>33.739774318777904</v>
      </c>
      <c r="M18" s="75">
        <f>K18*((1.025)^3)</f>
        <v>34.988887923270092</v>
      </c>
      <c r="N18" s="74">
        <f>N6</f>
        <v>35.739726785714289</v>
      </c>
      <c r="O18" s="73">
        <f>MEDIAN(N18,P18)</f>
        <v>37.113751750655695</v>
      </c>
      <c r="P18" s="75">
        <f>N18*((1.025)^3)</f>
        <v>38.4877767155971</v>
      </c>
      <c r="Q18" s="74">
        <f>O6</f>
        <v>39.313699464285719</v>
      </c>
      <c r="R18" s="73">
        <f>MEDIAN(Q18,S18)</f>
        <v>40.825126925721264</v>
      </c>
      <c r="S18" s="75">
        <f>Q18*((1.025)^3)</f>
        <v>42.336554387156809</v>
      </c>
      <c r="T18" s="73"/>
      <c r="U18" s="1">
        <v>13</v>
      </c>
      <c r="V18" s="46">
        <f t="shared" si="0"/>
        <v>29.575584334545709</v>
      </c>
      <c r="W18" s="46">
        <f t="shared" si="1"/>
        <v>37.01548318115421</v>
      </c>
      <c r="X18" s="46">
        <f t="shared" si="2"/>
        <v>40.717031499269623</v>
      </c>
      <c r="Y18" s="46">
        <f t="shared" si="3"/>
        <v>44.788734649196599</v>
      </c>
      <c r="Z18" s="46">
        <f t="shared" si="4"/>
        <v>49.26760811411625</v>
      </c>
      <c r="AA18" s="46">
        <f t="shared" si="5"/>
        <v>54.194368925527876</v>
      </c>
    </row>
    <row r="19" spans="1:27" x14ac:dyDescent="0.2">
      <c r="A19" s="76" t="s">
        <v>143</v>
      </c>
      <c r="B19" s="73">
        <f>B18*((1.025)^4)</f>
        <v>23.68200919255785</v>
      </c>
      <c r="C19" s="73">
        <f t="shared" ref="C19:C23" si="8">MEDIAN(B19,D19)</f>
        <v>24.281460050244469</v>
      </c>
      <c r="D19" s="73">
        <f>B18*((1.025)^6)</f>
        <v>24.880910907931089</v>
      </c>
      <c r="E19" s="74">
        <f>E18*((1.025)^4)</f>
        <v>29.63934720772879</v>
      </c>
      <c r="F19" s="73">
        <f t="shared" ref="F19:F23" si="9">MEDIAN(E19,G19)</f>
        <v>30.389593183924422</v>
      </c>
      <c r="G19" s="75">
        <f>E18*((1.025)^6)</f>
        <v>31.139839160120054</v>
      </c>
      <c r="H19" s="73">
        <f>H18*((1.025)^4)</f>
        <v>32.603281928501666</v>
      </c>
      <c r="I19" s="73">
        <f t="shared" ref="I19:I23" si="10">MEDIAN(H19,J19)</f>
        <v>33.428552502316862</v>
      </c>
      <c r="J19" s="75">
        <f>H18*((1.025)^6)</f>
        <v>34.253823076132058</v>
      </c>
      <c r="K19" s="74">
        <f>K18*((1.025)^4)</f>
        <v>35.86361012135184</v>
      </c>
      <c r="L19" s="73">
        <f t="shared" ref="L19:L23" si="11">MEDIAN(K19,M19)</f>
        <v>36.771407752548555</v>
      </c>
      <c r="M19" s="75">
        <f>K18*((1.025)^6)</f>
        <v>37.67920538374527</v>
      </c>
      <c r="N19" s="74">
        <f>N18*((1.025)^4)</f>
        <v>39.449971133487018</v>
      </c>
      <c r="O19" s="73">
        <f t="shared" ref="O19:O23" si="12">MEDIAN(N19,P19)</f>
        <v>40.44854852780341</v>
      </c>
      <c r="P19" s="75">
        <f>N18*((1.025)^6)</f>
        <v>41.447125922119795</v>
      </c>
      <c r="Q19" s="74">
        <f>Q18*((1.025)^4)</f>
        <v>43.394968246835724</v>
      </c>
      <c r="R19" s="73">
        <f t="shared" ref="R19:R23" si="13">MEDIAN(Q19,S19)</f>
        <v>44.49340338058375</v>
      </c>
      <c r="S19" s="75">
        <f>Q18*((1.025)^6)</f>
        <v>45.591838514331776</v>
      </c>
      <c r="T19" s="73"/>
      <c r="U19" s="1">
        <v>14</v>
      </c>
      <c r="V19" s="46">
        <f t="shared" si="0"/>
        <v>30.314973942909351</v>
      </c>
      <c r="W19" s="46">
        <f t="shared" si="1"/>
        <v>37.940870260683063</v>
      </c>
      <c r="X19" s="46">
        <f t="shared" si="2"/>
        <v>41.73495728675136</v>
      </c>
      <c r="Y19" s="46">
        <f t="shared" si="3"/>
        <v>45.90845301542651</v>
      </c>
      <c r="Z19" s="46">
        <f t="shared" si="4"/>
        <v>50.499298316969153</v>
      </c>
      <c r="AA19" s="46">
        <f t="shared" si="5"/>
        <v>55.549228148666067</v>
      </c>
    </row>
    <row r="20" spans="1:27" x14ac:dyDescent="0.2">
      <c r="A20" s="76" t="s">
        <v>144</v>
      </c>
      <c r="B20" s="73">
        <f>B18*((1.025)^7)</f>
        <v>25.502933680629365</v>
      </c>
      <c r="C20" s="73">
        <f t="shared" si="8"/>
        <v>26.148476689420292</v>
      </c>
      <c r="D20" s="73">
        <f>B18*((1.025)^9)</f>
        <v>26.794019698211219</v>
      </c>
      <c r="E20" s="74">
        <f>E18*((1.025)^7)</f>
        <v>31.918335139123055</v>
      </c>
      <c r="F20" s="73">
        <f t="shared" si="9"/>
        <v>32.726267997332101</v>
      </c>
      <c r="G20" s="75">
        <f>E18*((1.025)^9)</f>
        <v>33.534200855541151</v>
      </c>
      <c r="H20" s="73">
        <f>H18*((1.025)^7)</f>
        <v>35.110168653035366</v>
      </c>
      <c r="I20" s="73">
        <f t="shared" si="10"/>
        <v>35.998894797065319</v>
      </c>
      <c r="J20" s="75">
        <f>H18*((1.025)^9)</f>
        <v>36.887620941095271</v>
      </c>
      <c r="K20" s="74">
        <f>K18*((1.025)^7)</f>
        <v>38.621185518338898</v>
      </c>
      <c r="L20" s="73">
        <f t="shared" si="11"/>
        <v>39.598784276771852</v>
      </c>
      <c r="M20" s="75">
        <f>K18*((1.025)^9)</f>
        <v>40.576383035204799</v>
      </c>
      <c r="N20" s="74">
        <f>N18*((1.025)^7)</f>
        <v>42.483304070172792</v>
      </c>
      <c r="O20" s="73">
        <f t="shared" si="12"/>
        <v>43.558662704449034</v>
      </c>
      <c r="P20" s="75">
        <f>N18*((1.025)^9)</f>
        <v>44.634021338725276</v>
      </c>
      <c r="Q20" s="74">
        <f>Q18*((1.025)^7)</f>
        <v>46.73163447719007</v>
      </c>
      <c r="R20" s="73">
        <f t="shared" si="13"/>
        <v>47.91452897489394</v>
      </c>
      <c r="S20" s="75">
        <f>Q18*((1.025)^9)</f>
        <v>49.097423472597804</v>
      </c>
      <c r="T20" s="73"/>
      <c r="U20" s="1">
        <v>15</v>
      </c>
      <c r="V20" s="46">
        <f t="shared" si="0"/>
        <v>31.072848291482082</v>
      </c>
      <c r="W20" s="46">
        <f t="shared" si="1"/>
        <v>38.889392017200137</v>
      </c>
      <c r="X20" s="46">
        <f t="shared" si="2"/>
        <v>42.778331218920144</v>
      </c>
      <c r="Y20" s="46">
        <f t="shared" si="3"/>
        <v>47.056164340812167</v>
      </c>
      <c r="Z20" s="46">
        <f t="shared" si="4"/>
        <v>51.761780774893374</v>
      </c>
      <c r="AA20" s="46">
        <f t="shared" si="5"/>
        <v>56.937958852382714</v>
      </c>
    </row>
    <row r="21" spans="1:27" x14ac:dyDescent="0.2">
      <c r="A21" s="76" t="s">
        <v>145</v>
      </c>
      <c r="B21" s="73">
        <f>B18*((1.025)^10)</f>
        <v>27.463870190666501</v>
      </c>
      <c r="C21" s="73">
        <f t="shared" si="8"/>
        <v>28.159049404867744</v>
      </c>
      <c r="D21" s="73">
        <f>B18*((1.025)^12)</f>
        <v>28.854228619068991</v>
      </c>
      <c r="E21" s="74">
        <f>E18*((1.025)^10)</f>
        <v>34.372555876929681</v>
      </c>
      <c r="F21" s="73">
        <f t="shared" si="9"/>
        <v>35.242611197564457</v>
      </c>
      <c r="G21" s="75">
        <f>E18*((1.025)^12)</f>
        <v>36.112666518199241</v>
      </c>
      <c r="H21" s="73">
        <f>H18*((1.025)^10)</f>
        <v>37.809811464622648</v>
      </c>
      <c r="I21" s="73">
        <f t="shared" si="10"/>
        <v>38.766872317320903</v>
      </c>
      <c r="J21" s="75">
        <f>H18*((1.025)^12)</f>
        <v>39.723933170019166</v>
      </c>
      <c r="K21" s="74">
        <f>K18*((1.025)^10)</f>
        <v>41.590792611084915</v>
      </c>
      <c r="L21" s="73">
        <f t="shared" si="11"/>
        <v>42.643559549053002</v>
      </c>
      <c r="M21" s="75">
        <f>K18*((1.025)^12)</f>
        <v>43.696326487021089</v>
      </c>
      <c r="N21" s="74">
        <f>N18*((1.025)^10)</f>
        <v>45.74987187219341</v>
      </c>
      <c r="O21" s="73">
        <f t="shared" si="12"/>
        <v>46.907915503958307</v>
      </c>
      <c r="P21" s="75">
        <f>N18*((1.025)^12)</f>
        <v>48.065959135723197</v>
      </c>
      <c r="Q21" s="74">
        <f>Q18*((1.025)^10)</f>
        <v>50.324859059412752</v>
      </c>
      <c r="R21" s="73">
        <f t="shared" si="13"/>
        <v>51.598707054354136</v>
      </c>
      <c r="S21" s="75">
        <f>Q18*((1.025)^12)</f>
        <v>52.872555049295521</v>
      </c>
      <c r="T21" s="73"/>
      <c r="U21" s="1">
        <v>16</v>
      </c>
      <c r="V21" s="46">
        <f t="shared" si="0"/>
        <v>31.849669498769131</v>
      </c>
      <c r="W21" s="46">
        <f t="shared" si="1"/>
        <v>39.861626817630139</v>
      </c>
      <c r="X21" s="46">
        <f t="shared" si="2"/>
        <v>43.847789499393144</v>
      </c>
      <c r="Y21" s="46">
        <f t="shared" si="3"/>
        <v>48.232568449332469</v>
      </c>
      <c r="Z21" s="46">
        <f t="shared" si="4"/>
        <v>53.055825294265702</v>
      </c>
      <c r="AA21" s="46">
        <f t="shared" si="5"/>
        <v>58.361407823692275</v>
      </c>
    </row>
    <row r="22" spans="1:27" x14ac:dyDescent="0.2">
      <c r="A22" s="76" t="s">
        <v>146</v>
      </c>
      <c r="B22" s="73">
        <f>B18*((1.025)^13)</f>
        <v>29.575584334545713</v>
      </c>
      <c r="C22" s="73">
        <f t="shared" si="8"/>
        <v>30.324216313013903</v>
      </c>
      <c r="D22" s="73">
        <f>B18*((1.025)^15)</f>
        <v>31.072848291482092</v>
      </c>
      <c r="E22" s="74">
        <f>E18*((1.025)^13)</f>
        <v>37.015483181154224</v>
      </c>
      <c r="F22" s="73">
        <f t="shared" si="9"/>
        <v>37.952437599177188</v>
      </c>
      <c r="G22" s="75">
        <f>E18*((1.025)^15)</f>
        <v>38.889392017200159</v>
      </c>
      <c r="H22" s="73">
        <f>H18*((1.025)^13)</f>
        <v>40.717031499269645</v>
      </c>
      <c r="I22" s="73">
        <f t="shared" si="10"/>
        <v>41.747681359094912</v>
      </c>
      <c r="J22" s="75">
        <f>H18*((1.025)^15)</f>
        <v>42.778331218920172</v>
      </c>
      <c r="K22" s="74">
        <f>K18*((1.025)^13)</f>
        <v>44.788734649196613</v>
      </c>
      <c r="L22" s="73">
        <f t="shared" si="11"/>
        <v>45.9224494950044</v>
      </c>
      <c r="M22" s="75">
        <f>K18*((1.025)^15)</f>
        <v>47.056164340812195</v>
      </c>
      <c r="N22" s="74">
        <f>N18*((1.025)^13)</f>
        <v>49.267608114116271</v>
      </c>
      <c r="O22" s="73">
        <f t="shared" si="12"/>
        <v>50.51469444450484</v>
      </c>
      <c r="P22" s="75">
        <f>N18*((1.025)^15)</f>
        <v>51.76178077489341</v>
      </c>
      <c r="Q22" s="74">
        <f>Q18*((1.025)^13)</f>
        <v>54.194368925527904</v>
      </c>
      <c r="R22" s="73">
        <f t="shared" si="13"/>
        <v>55.56616388895533</v>
      </c>
      <c r="S22" s="75">
        <f>Q18*((1.025)^15)</f>
        <v>56.937958852382756</v>
      </c>
      <c r="T22" s="73"/>
      <c r="U22" s="1">
        <v>17</v>
      </c>
      <c r="V22" s="46">
        <f t="shared" si="0"/>
        <v>32.645911236238355</v>
      </c>
      <c r="W22" s="46">
        <f t="shared" si="1"/>
        <v>40.85816748807089</v>
      </c>
      <c r="X22" s="46">
        <f t="shared" si="2"/>
        <v>44.943984236877967</v>
      </c>
      <c r="Y22" s="46">
        <f t="shared" si="3"/>
        <v>49.438382660565779</v>
      </c>
      <c r="Z22" s="46">
        <f t="shared" si="4"/>
        <v>54.382220926622338</v>
      </c>
      <c r="AA22" s="46">
        <f t="shared" si="5"/>
        <v>59.820443019284575</v>
      </c>
    </row>
    <row r="23" spans="1:27" x14ac:dyDescent="0.2">
      <c r="A23" s="77" t="s">
        <v>147</v>
      </c>
      <c r="B23" s="78">
        <f>B18*((1.025)^16)</f>
        <v>31.849669498769142</v>
      </c>
      <c r="C23" s="78">
        <f t="shared" si="8"/>
        <v>33.5028726268282</v>
      </c>
      <c r="D23" s="78">
        <f>B18*((1.025)^20)</f>
        <v>35.156075754887254</v>
      </c>
      <c r="E23" s="79">
        <f>E18*((1.025)^16)</f>
        <v>39.86162681763016</v>
      </c>
      <c r="F23" s="78">
        <f t="shared" si="9"/>
        <v>41.930702170106755</v>
      </c>
      <c r="G23" s="80">
        <f>E18*((1.025)^20)</f>
        <v>43.999777522583351</v>
      </c>
      <c r="H23" s="79">
        <f>H18*((1.025)^16)</f>
        <v>43.847789499393173</v>
      </c>
      <c r="I23" s="78">
        <f t="shared" si="10"/>
        <v>46.123772387117427</v>
      </c>
      <c r="J23" s="80">
        <f>H18*((1.025)^20)</f>
        <v>48.399755274841688</v>
      </c>
      <c r="K23" s="78">
        <f>K18*((1.025)^16)</f>
        <v>48.232568449332497</v>
      </c>
      <c r="L23" s="78">
        <f t="shared" si="11"/>
        <v>50.736149625829178</v>
      </c>
      <c r="M23" s="80">
        <f>K18*((1.025)^20)</f>
        <v>53.239730802325859</v>
      </c>
      <c r="N23" s="78">
        <f>N18*((1.025)^16)</f>
        <v>53.055825294265745</v>
      </c>
      <c r="O23" s="78">
        <f t="shared" si="12"/>
        <v>55.809764588412094</v>
      </c>
      <c r="P23" s="78">
        <f>N18*((1.025)^20)</f>
        <v>58.56370388255845</v>
      </c>
      <c r="Q23" s="79">
        <f>Q18*((1.025)^16)</f>
        <v>58.361407823692318</v>
      </c>
      <c r="R23" s="78">
        <f t="shared" si="13"/>
        <v>61.390741047253307</v>
      </c>
      <c r="S23" s="80">
        <f>Q18*((1.025)^20)</f>
        <v>64.420074270814297</v>
      </c>
      <c r="T23" s="73"/>
      <c r="U23" s="1">
        <v>18</v>
      </c>
      <c r="V23" s="46">
        <f t="shared" si="0"/>
        <v>33.462059017144313</v>
      </c>
      <c r="W23" s="46">
        <f t="shared" si="1"/>
        <v>41.879621675272659</v>
      </c>
      <c r="X23" s="46">
        <f t="shared" si="2"/>
        <v>46.067583842799912</v>
      </c>
      <c r="Y23" s="46">
        <f t="shared" si="3"/>
        <v>50.674342227079919</v>
      </c>
      <c r="Z23" s="46">
        <f t="shared" si="4"/>
        <v>55.741776449787892</v>
      </c>
      <c r="AA23" s="46">
        <f t="shared" si="5"/>
        <v>61.315954094766681</v>
      </c>
    </row>
    <row r="24" spans="1:27" ht="15" x14ac:dyDescent="0.25">
      <c r="A24" s="44"/>
      <c r="B24" s="36"/>
      <c r="C24" s="46"/>
      <c r="D24" s="36"/>
      <c r="E24" s="81"/>
      <c r="F24" s="81"/>
      <c r="G24" s="81"/>
      <c r="H24" s="81"/>
      <c r="I24" s="73"/>
      <c r="J24" s="73"/>
      <c r="M24" s="40"/>
      <c r="P24" s="1"/>
      <c r="U24" s="1">
        <v>19</v>
      </c>
      <c r="V24" s="46">
        <f t="shared" si="0"/>
        <v>34.298610492572919</v>
      </c>
      <c r="W24" s="46">
        <f t="shared" si="1"/>
        <v>42.926612217154471</v>
      </c>
      <c r="X24" s="46">
        <f t="shared" si="2"/>
        <v>47.219273438869905</v>
      </c>
      <c r="Y24" s="46">
        <f t="shared" si="3"/>
        <v>51.941200782756916</v>
      </c>
      <c r="Z24" s="46">
        <f t="shared" si="4"/>
        <v>57.135320861032582</v>
      </c>
      <c r="AA24" s="46">
        <f t="shared" si="5"/>
        <v>62.848852947135846</v>
      </c>
    </row>
    <row r="25" spans="1:27" ht="15" x14ac:dyDescent="0.25">
      <c r="A25" s="44"/>
      <c r="B25" s="36"/>
      <c r="C25" s="46"/>
      <c r="D25" s="36"/>
      <c r="E25" s="81"/>
      <c r="F25" s="81"/>
      <c r="G25" s="81"/>
      <c r="H25" s="81"/>
      <c r="I25" s="73"/>
      <c r="J25" s="73"/>
      <c r="M25" s="40"/>
      <c r="P25" s="1"/>
      <c r="U25" s="1">
        <v>20</v>
      </c>
      <c r="V25" s="46">
        <f t="shared" si="0"/>
        <v>35.15607575488724</v>
      </c>
      <c r="W25" s="46">
        <f t="shared" si="1"/>
        <v>43.999777522583329</v>
      </c>
      <c r="X25" s="46">
        <f t="shared" si="2"/>
        <v>48.399755274841645</v>
      </c>
      <c r="Y25" s="46">
        <f t="shared" si="3"/>
        <v>53.23973080232583</v>
      </c>
      <c r="Z25" s="46">
        <f t="shared" si="4"/>
        <v>58.563703882558393</v>
      </c>
      <c r="AA25" s="46">
        <f t="shared" si="5"/>
        <v>64.42007427081424</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148</v>
      </c>
      <c r="B28" s="28"/>
      <c r="C28" s="28"/>
      <c r="D28" s="28"/>
      <c r="E28" s="28"/>
      <c r="F28" s="28"/>
      <c r="G28" s="28"/>
      <c r="H28" s="28"/>
      <c r="I28" s="28"/>
      <c r="J28" s="28"/>
      <c r="K28" s="28"/>
      <c r="L28" s="28"/>
      <c r="M28" s="28"/>
      <c r="N28" s="28"/>
      <c r="O28" s="28"/>
      <c r="P28" s="28"/>
      <c r="Q28" s="28"/>
      <c r="R28" s="28"/>
      <c r="S28" s="28"/>
      <c r="U28" s="46"/>
      <c r="V28" s="46" t="s">
        <v>60</v>
      </c>
      <c r="W28" s="46"/>
      <c r="X28" s="46"/>
      <c r="Y28" s="46"/>
      <c r="Z28" s="46"/>
      <c r="AA28" s="46"/>
    </row>
    <row r="29" spans="1:27" ht="15.75" thickBot="1" x14ac:dyDescent="0.3">
      <c r="A29" s="295" t="s">
        <v>135</v>
      </c>
      <c r="B29" s="300" t="s">
        <v>32</v>
      </c>
      <c r="C29" s="279"/>
      <c r="D29" s="279"/>
      <c r="E29" s="279" t="s">
        <v>32</v>
      </c>
      <c r="F29" s="279"/>
      <c r="G29" s="279"/>
      <c r="H29" s="279" t="s">
        <v>33</v>
      </c>
      <c r="I29" s="279"/>
      <c r="J29" s="279"/>
      <c r="K29" s="279" t="s">
        <v>34</v>
      </c>
      <c r="L29" s="279"/>
      <c r="M29" s="279"/>
      <c r="N29" s="279" t="s">
        <v>34</v>
      </c>
      <c r="O29" s="279"/>
      <c r="P29" s="294"/>
      <c r="Q29" s="279" t="s">
        <v>34</v>
      </c>
      <c r="R29" s="279"/>
      <c r="S29" s="294"/>
      <c r="U29" s="46" t="s">
        <v>128</v>
      </c>
      <c r="V29" s="46" t="s">
        <v>129</v>
      </c>
      <c r="W29" s="46" t="s">
        <v>47</v>
      </c>
      <c r="X29" s="46" t="s">
        <v>49</v>
      </c>
      <c r="Y29" s="46" t="s">
        <v>130</v>
      </c>
      <c r="Z29" s="46" t="s">
        <v>131</v>
      </c>
      <c r="AA29" s="46" t="s">
        <v>132</v>
      </c>
    </row>
    <row r="30" spans="1:27" ht="15" x14ac:dyDescent="0.2">
      <c r="A30" s="296"/>
      <c r="B30" s="301" t="s">
        <v>149</v>
      </c>
      <c r="C30" s="302"/>
      <c r="D30" s="308"/>
      <c r="E30" s="291" t="s">
        <v>127</v>
      </c>
      <c r="F30" s="292"/>
      <c r="G30" s="292"/>
      <c r="H30" s="273" t="s">
        <v>42</v>
      </c>
      <c r="I30" s="274"/>
      <c r="J30" s="275"/>
      <c r="K30" s="291" t="s">
        <v>43</v>
      </c>
      <c r="L30" s="292"/>
      <c r="M30" s="293"/>
      <c r="N30" s="291" t="s">
        <v>44</v>
      </c>
      <c r="O30" s="292"/>
      <c r="P30" s="293"/>
      <c r="Q30" s="291" t="s">
        <v>150</v>
      </c>
      <c r="R30" s="292"/>
      <c r="S30" s="293"/>
      <c r="U30" s="1">
        <v>0</v>
      </c>
      <c r="V30" s="209">
        <f>H8</f>
        <v>19.504301361955918</v>
      </c>
      <c r="W30" s="209">
        <f>I8</f>
        <v>24.410714285714285</v>
      </c>
      <c r="X30" s="209">
        <f>K8</f>
        <v>26.851785714285715</v>
      </c>
      <c r="Y30" s="209">
        <f>M8</f>
        <v>29.536964285714287</v>
      </c>
      <c r="Z30" s="209">
        <f>N8</f>
        <v>32.490660714285717</v>
      </c>
      <c r="AA30" s="209">
        <f>O8</f>
        <v>35.739726785714289</v>
      </c>
    </row>
    <row r="31" spans="1:27" ht="15" thickBot="1" x14ac:dyDescent="0.25">
      <c r="A31" s="297"/>
      <c r="B31" s="65" t="s">
        <v>139</v>
      </c>
      <c r="C31" s="66" t="s">
        <v>140</v>
      </c>
      <c r="D31" s="70" t="s">
        <v>141</v>
      </c>
      <c r="E31" s="68" t="s">
        <v>139</v>
      </c>
      <c r="F31" s="68" t="s">
        <v>140</v>
      </c>
      <c r="G31" s="68" t="s">
        <v>141</v>
      </c>
      <c r="H31" s="65" t="s">
        <v>139</v>
      </c>
      <c r="I31" s="66" t="s">
        <v>140</v>
      </c>
      <c r="J31" s="70" t="s">
        <v>141</v>
      </c>
      <c r="K31" s="65" t="s">
        <v>139</v>
      </c>
      <c r="L31" s="66" t="s">
        <v>140</v>
      </c>
      <c r="M31" s="70" t="s">
        <v>141</v>
      </c>
      <c r="N31" s="65" t="s">
        <v>139</v>
      </c>
      <c r="O31" s="66" t="s">
        <v>140</v>
      </c>
      <c r="P31" s="70" t="s">
        <v>141</v>
      </c>
      <c r="Q31" s="65" t="s">
        <v>139</v>
      </c>
      <c r="R31" s="66" t="s">
        <v>140</v>
      </c>
      <c r="S31" s="70" t="s">
        <v>141</v>
      </c>
      <c r="U31" s="1">
        <v>1</v>
      </c>
      <c r="V31" s="209">
        <f t="shared" ref="V31:V50" si="14">V30*1.025</f>
        <v>19.991908896004812</v>
      </c>
      <c r="W31" s="209">
        <f t="shared" ref="W31:W50" si="15">W30*1.025</f>
        <v>25.02098214285714</v>
      </c>
      <c r="X31" s="209">
        <f t="shared" ref="X31:X50" si="16">X30*1.025</f>
        <v>27.523080357142856</v>
      </c>
      <c r="Y31" s="209">
        <f t="shared" ref="Y31:Y50" si="17">Y30*1.025</f>
        <v>30.275388392857142</v>
      </c>
      <c r="Z31" s="209">
        <f t="shared" ref="Z31:Z50" si="18">Z30*1.025</f>
        <v>33.302927232142856</v>
      </c>
      <c r="AA31" s="209">
        <f t="shared" ref="AA31:AA50" si="19">AA30*1.025</f>
        <v>36.633219955357141</v>
      </c>
    </row>
    <row r="32" spans="1:27" x14ac:dyDescent="0.2">
      <c r="A32" s="72" t="s">
        <v>142</v>
      </c>
      <c r="B32" s="73">
        <f>F8</f>
        <v>19.504301361955918</v>
      </c>
      <c r="C32" s="73">
        <f>MEDIAN(B32,D32)</f>
        <v>20.254150322910487</v>
      </c>
      <c r="D32" s="75">
        <f>B32*((1.025)^3)</f>
        <v>21.003999283865056</v>
      </c>
      <c r="E32" s="73">
        <f>I8</f>
        <v>24.410714285714285</v>
      </c>
      <c r="F32" s="73">
        <f>MEDIAN(E32,G32)</f>
        <v>25.349191824776781</v>
      </c>
      <c r="G32" s="73">
        <f>E32*((1.025)^3)</f>
        <v>26.287669363839282</v>
      </c>
      <c r="H32" s="74">
        <f>K8</f>
        <v>26.851785714285715</v>
      </c>
      <c r="I32" s="73">
        <f>MEDIAN(H32,J32)</f>
        <v>27.884111007254461</v>
      </c>
      <c r="J32" s="75">
        <f>H32*((1.025)^3)</f>
        <v>28.916436300223211</v>
      </c>
      <c r="K32" s="74">
        <f>M8</f>
        <v>29.536964285714287</v>
      </c>
      <c r="L32" s="73">
        <f>MEDIAN(K32,M32)</f>
        <v>30.672522107979908</v>
      </c>
      <c r="M32" s="75">
        <f>K32*((1.025)^3)</f>
        <v>31.808079930245533</v>
      </c>
      <c r="N32" s="74">
        <f>N8</f>
        <v>32.490660714285717</v>
      </c>
      <c r="O32" s="73">
        <f>MEDIAN(N32,P32)</f>
        <v>33.739774318777904</v>
      </c>
      <c r="P32" s="75">
        <f>N32*((1.025)^3)</f>
        <v>34.988887923270092</v>
      </c>
      <c r="Q32" s="74">
        <f>O8</f>
        <v>35.739726785714289</v>
      </c>
      <c r="R32" s="73">
        <f>MEDIAN(Q32,S32)</f>
        <v>37.113751750655695</v>
      </c>
      <c r="S32" s="75">
        <f>Q32*((1.025)^3)</f>
        <v>38.4877767155971</v>
      </c>
      <c r="U32" s="1">
        <v>2</v>
      </c>
      <c r="V32" s="209">
        <f t="shared" si="14"/>
        <v>20.49170661840493</v>
      </c>
      <c r="W32" s="209">
        <f t="shared" si="15"/>
        <v>25.646506696428567</v>
      </c>
      <c r="X32" s="209">
        <f t="shared" si="16"/>
        <v>28.211157366071426</v>
      </c>
      <c r="Y32" s="209">
        <f t="shared" si="17"/>
        <v>31.032273102678566</v>
      </c>
      <c r="Z32" s="209">
        <f t="shared" si="18"/>
        <v>34.135500412946428</v>
      </c>
      <c r="AA32" s="209">
        <f t="shared" si="19"/>
        <v>37.549050454241069</v>
      </c>
    </row>
    <row r="33" spans="1:27" x14ac:dyDescent="0.2">
      <c r="A33" s="76" t="s">
        <v>143</v>
      </c>
      <c r="B33" s="73">
        <f>B32*((1.025)^4)</f>
        <v>21.52909926596168</v>
      </c>
      <c r="C33" s="73">
        <f t="shared" ref="C33:C37" si="20">MEDIAN(B33,D33)</f>
        <v>22.074054591131336</v>
      </c>
      <c r="D33" s="75">
        <f>B32*((1.025)^6)</f>
        <v>22.619009916300989</v>
      </c>
      <c r="E33" s="73">
        <f>E32*((1.025)^4)</f>
        <v>26.944861097935259</v>
      </c>
      <c r="F33" s="73">
        <f t="shared" ref="F33:F37" si="21">MEDIAN(E33,G33)</f>
        <v>27.626902894476743</v>
      </c>
      <c r="G33" s="73">
        <f>E32*((1.025)^6)</f>
        <v>28.30894469101823</v>
      </c>
      <c r="H33" s="74">
        <f>H32*((1.025)^4)</f>
        <v>29.63934720772879</v>
      </c>
      <c r="I33" s="73">
        <f t="shared" ref="I33:I37" si="22">MEDIAN(H33,J33)</f>
        <v>30.389593183924422</v>
      </c>
      <c r="J33" s="75">
        <f>H32*((1.025)^6)</f>
        <v>31.139839160120054</v>
      </c>
      <c r="K33" s="74">
        <f>K32*((1.025)^4)</f>
        <v>32.603281928501666</v>
      </c>
      <c r="L33" s="73">
        <f t="shared" ref="L33:L37" si="23">MEDIAN(K33,M33)</f>
        <v>33.428552502316862</v>
      </c>
      <c r="M33" s="75">
        <f>K32*((1.025)^6)</f>
        <v>34.253823076132058</v>
      </c>
      <c r="N33" s="74">
        <f>N32*((1.025)^4)</f>
        <v>35.86361012135184</v>
      </c>
      <c r="O33" s="73">
        <f t="shared" ref="O33:O37" si="24">MEDIAN(N33,P33)</f>
        <v>36.771407752548555</v>
      </c>
      <c r="P33" s="75">
        <f>N32*((1.025)^6)</f>
        <v>37.67920538374527</v>
      </c>
      <c r="Q33" s="74">
        <f>Q32*((1.025)^4)</f>
        <v>39.449971133487018</v>
      </c>
      <c r="R33" s="73">
        <f t="shared" ref="R33:R37" si="25">MEDIAN(Q33,S33)</f>
        <v>40.44854852780341</v>
      </c>
      <c r="S33" s="75">
        <f>Q32*((1.025)^6)</f>
        <v>41.447125922119795</v>
      </c>
      <c r="U33" s="1">
        <v>3</v>
      </c>
      <c r="V33" s="209">
        <f t="shared" si="14"/>
        <v>21.003999283865053</v>
      </c>
      <c r="W33" s="209">
        <f t="shared" si="15"/>
        <v>26.287669363839278</v>
      </c>
      <c r="X33" s="209">
        <f t="shared" si="16"/>
        <v>28.916436300223207</v>
      </c>
      <c r="Y33" s="209">
        <f t="shared" si="17"/>
        <v>31.808079930245526</v>
      </c>
      <c r="Z33" s="209">
        <f t="shared" si="18"/>
        <v>34.988887923270084</v>
      </c>
      <c r="AA33" s="209">
        <f t="shared" si="19"/>
        <v>38.487776715597093</v>
      </c>
    </row>
    <row r="34" spans="1:27" x14ac:dyDescent="0.2">
      <c r="A34" s="76" t="s">
        <v>144</v>
      </c>
      <c r="B34" s="73">
        <f>B32*((1.025)^7)</f>
        <v>23.184485164208514</v>
      </c>
      <c r="C34" s="73">
        <f t="shared" si="20"/>
        <v>23.771342444927541</v>
      </c>
      <c r="D34" s="75">
        <f>B32*((1.025)^9)</f>
        <v>24.358199725646564</v>
      </c>
      <c r="E34" s="73">
        <f>E32*((1.025)^7)</f>
        <v>29.016668308293685</v>
      </c>
      <c r="F34" s="73">
        <f t="shared" si="21"/>
        <v>29.751152724847366</v>
      </c>
      <c r="G34" s="73">
        <f>E32*((1.025)^9)</f>
        <v>30.485637141401046</v>
      </c>
      <c r="H34" s="74">
        <f>H32*((1.025)^7)</f>
        <v>31.918335139123055</v>
      </c>
      <c r="I34" s="73">
        <f t="shared" si="22"/>
        <v>32.726267997332101</v>
      </c>
      <c r="J34" s="75">
        <f>H32*((1.025)^9)</f>
        <v>33.534200855541151</v>
      </c>
      <c r="K34" s="74">
        <f>K32*((1.025)^7)</f>
        <v>35.110168653035366</v>
      </c>
      <c r="L34" s="73">
        <f t="shared" si="23"/>
        <v>35.998894797065319</v>
      </c>
      <c r="M34" s="75">
        <f>K32*((1.025)^9)</f>
        <v>36.887620941095271</v>
      </c>
      <c r="N34" s="74">
        <f>N32*((1.025)^7)</f>
        <v>38.621185518338898</v>
      </c>
      <c r="O34" s="73">
        <f t="shared" si="24"/>
        <v>39.598784276771852</v>
      </c>
      <c r="P34" s="75">
        <f>N32*((1.025)^9)</f>
        <v>40.576383035204799</v>
      </c>
      <c r="Q34" s="74">
        <f>Q32*((1.025)^7)</f>
        <v>42.483304070172792</v>
      </c>
      <c r="R34" s="73">
        <f t="shared" si="25"/>
        <v>43.558662704449034</v>
      </c>
      <c r="S34" s="75">
        <f>Q32*((1.025)^9)</f>
        <v>44.634021338725276</v>
      </c>
      <c r="U34" s="1">
        <v>4</v>
      </c>
      <c r="V34" s="209">
        <f t="shared" si="14"/>
        <v>21.529099265961676</v>
      </c>
      <c r="W34" s="209">
        <f t="shared" si="15"/>
        <v>26.944861097935256</v>
      </c>
      <c r="X34" s="209">
        <f t="shared" si="16"/>
        <v>29.639347207728786</v>
      </c>
      <c r="Y34" s="209">
        <f t="shared" si="17"/>
        <v>32.603281928501659</v>
      </c>
      <c r="Z34" s="209">
        <f t="shared" si="18"/>
        <v>35.863610121351833</v>
      </c>
      <c r="AA34" s="209">
        <f t="shared" si="19"/>
        <v>39.449971133487018</v>
      </c>
    </row>
    <row r="35" spans="1:27" x14ac:dyDescent="0.2">
      <c r="A35" s="76" t="s">
        <v>145</v>
      </c>
      <c r="B35" s="73">
        <f>B32*((1.025)^10)</f>
        <v>24.967154718787729</v>
      </c>
      <c r="C35" s="73">
        <f t="shared" si="20"/>
        <v>25.599135822607039</v>
      </c>
      <c r="D35" s="75">
        <f>B32*((1.025)^12)</f>
        <v>26.231116926426353</v>
      </c>
      <c r="E35" s="73">
        <f>E32*((1.025)^10)</f>
        <v>31.247778069936071</v>
      </c>
      <c r="F35" s="73">
        <f t="shared" si="21"/>
        <v>32.038737452331326</v>
      </c>
      <c r="G35" s="73">
        <f>E32*((1.025)^12)</f>
        <v>32.829696834726583</v>
      </c>
      <c r="H35" s="74">
        <f>H32*((1.025)^10)</f>
        <v>34.372555876929681</v>
      </c>
      <c r="I35" s="73">
        <f t="shared" si="22"/>
        <v>35.242611197564457</v>
      </c>
      <c r="J35" s="75">
        <f>H32*((1.025)^12)</f>
        <v>36.112666518199241</v>
      </c>
      <c r="K35" s="74">
        <f>K32*((1.025)^10)</f>
        <v>37.809811464622648</v>
      </c>
      <c r="L35" s="73">
        <f t="shared" si="23"/>
        <v>38.766872317320903</v>
      </c>
      <c r="M35" s="75">
        <f>K32*((1.025)^12)</f>
        <v>39.723933170019166</v>
      </c>
      <c r="N35" s="74">
        <f>N32*((1.025)^10)</f>
        <v>41.590792611084915</v>
      </c>
      <c r="O35" s="73">
        <f t="shared" si="24"/>
        <v>42.643559549053002</v>
      </c>
      <c r="P35" s="75">
        <f>N32*((1.025)^12)</f>
        <v>43.696326487021089</v>
      </c>
      <c r="Q35" s="74">
        <f>Q32*((1.025)^10)</f>
        <v>45.74987187219341</v>
      </c>
      <c r="R35" s="73">
        <f t="shared" si="25"/>
        <v>46.907915503958307</v>
      </c>
      <c r="S35" s="75">
        <f>Q32*((1.025)^12)</f>
        <v>48.065959135723197</v>
      </c>
      <c r="U35" s="1">
        <v>5</v>
      </c>
      <c r="V35" s="209">
        <f t="shared" si="14"/>
        <v>22.067326747610718</v>
      </c>
      <c r="W35" s="209">
        <f t="shared" si="15"/>
        <v>27.618482625383635</v>
      </c>
      <c r="X35" s="209">
        <f t="shared" si="16"/>
        <v>30.380330887922003</v>
      </c>
      <c r="Y35" s="209">
        <f t="shared" si="17"/>
        <v>33.418363976714197</v>
      </c>
      <c r="Z35" s="209">
        <f t="shared" si="18"/>
        <v>36.760200374385626</v>
      </c>
      <c r="AA35" s="209">
        <f t="shared" si="19"/>
        <v>40.436220411824188</v>
      </c>
    </row>
    <row r="36" spans="1:27" x14ac:dyDescent="0.2">
      <c r="A36" s="76" t="s">
        <v>146</v>
      </c>
      <c r="B36" s="73">
        <f>B32*((1.025)^13)</f>
        <v>26.886894849587012</v>
      </c>
      <c r="C36" s="73">
        <f t="shared" si="20"/>
        <v>27.567469375467184</v>
      </c>
      <c r="D36" s="73">
        <f>B32*((1.025)^15)</f>
        <v>28.248043901347355</v>
      </c>
      <c r="E36" s="74">
        <f>E32*((1.025)^13)</f>
        <v>33.650439255594748</v>
      </c>
      <c r="F36" s="73">
        <f t="shared" si="21"/>
        <v>34.502215999251987</v>
      </c>
      <c r="G36" s="75">
        <f>E32*((1.025)^15)</f>
        <v>35.353992742909234</v>
      </c>
      <c r="H36" s="73">
        <f>H32*((1.025)^13)</f>
        <v>37.015483181154224</v>
      </c>
      <c r="I36" s="73">
        <f t="shared" si="22"/>
        <v>37.952437599177188</v>
      </c>
      <c r="J36" s="75">
        <f>H32*((1.025)^15)</f>
        <v>38.889392017200159</v>
      </c>
      <c r="K36" s="74">
        <f>K32*((1.025)^13)</f>
        <v>40.717031499269645</v>
      </c>
      <c r="L36" s="73">
        <f t="shared" si="23"/>
        <v>41.747681359094912</v>
      </c>
      <c r="M36" s="75">
        <f>K32*((1.025)^15)</f>
        <v>42.778331218920172</v>
      </c>
      <c r="N36" s="74">
        <f>N32*((1.025)^13)</f>
        <v>44.788734649196613</v>
      </c>
      <c r="O36" s="73">
        <f t="shared" si="24"/>
        <v>45.9224494950044</v>
      </c>
      <c r="P36" s="75">
        <f>N32*((1.025)^15)</f>
        <v>47.056164340812195</v>
      </c>
      <c r="Q36" s="74">
        <f>Q32*((1.025)^13)</f>
        <v>49.267608114116271</v>
      </c>
      <c r="R36" s="73">
        <f t="shared" si="25"/>
        <v>50.51469444450484</v>
      </c>
      <c r="S36" s="75">
        <f>Q32*((1.025)^15)</f>
        <v>51.76178077489341</v>
      </c>
      <c r="T36" s="46"/>
      <c r="U36" s="1">
        <v>6</v>
      </c>
      <c r="V36" s="209">
        <f t="shared" si="14"/>
        <v>22.619009916300985</v>
      </c>
      <c r="W36" s="209">
        <f t="shared" si="15"/>
        <v>28.308944691018223</v>
      </c>
      <c r="X36" s="209">
        <f t="shared" si="16"/>
        <v>31.139839160120051</v>
      </c>
      <c r="Y36" s="209">
        <f t="shared" si="17"/>
        <v>34.253823076132051</v>
      </c>
      <c r="Z36" s="209">
        <f t="shared" si="18"/>
        <v>37.679205383745263</v>
      </c>
      <c r="AA36" s="209">
        <f t="shared" si="19"/>
        <v>41.447125922119788</v>
      </c>
    </row>
    <row r="37" spans="1:27" x14ac:dyDescent="0.2">
      <c r="A37" s="77" t="s">
        <v>147</v>
      </c>
      <c r="B37" s="78">
        <f>B32*((1.025)^16)</f>
        <v>28.954244998881038</v>
      </c>
      <c r="C37" s="78">
        <f t="shared" si="20"/>
        <v>30.457156933480178</v>
      </c>
      <c r="D37" s="78">
        <f>B32*((1.025)^20)</f>
        <v>31.960068868079318</v>
      </c>
      <c r="E37" s="79">
        <f>E32*((1.025)^16)</f>
        <v>36.237842561481962</v>
      </c>
      <c r="F37" s="78">
        <f t="shared" si="21"/>
        <v>38.118820154642506</v>
      </c>
      <c r="G37" s="80">
        <f>E32*((1.025)^20)</f>
        <v>39.999797747803044</v>
      </c>
      <c r="H37" s="79">
        <f>H32*((1.025)^16)</f>
        <v>39.86162681763016</v>
      </c>
      <c r="I37" s="78">
        <f t="shared" si="22"/>
        <v>41.930702170106755</v>
      </c>
      <c r="J37" s="80">
        <f>H32*((1.025)^20)</f>
        <v>43.999777522583351</v>
      </c>
      <c r="K37" s="78">
        <f>K32*((1.025)^16)</f>
        <v>43.847789499393173</v>
      </c>
      <c r="L37" s="78">
        <f t="shared" si="23"/>
        <v>46.123772387117427</v>
      </c>
      <c r="M37" s="80">
        <f>K32*((1.025)^20)</f>
        <v>48.399755274841688</v>
      </c>
      <c r="N37" s="78">
        <f>N32*((1.025)^16)</f>
        <v>48.232568449332497</v>
      </c>
      <c r="O37" s="78">
        <f t="shared" si="24"/>
        <v>50.736149625829178</v>
      </c>
      <c r="P37" s="78">
        <f>N32*((1.025)^20)</f>
        <v>53.239730802325859</v>
      </c>
      <c r="Q37" s="79">
        <f>Q32*((1.025)^16)</f>
        <v>53.055825294265745</v>
      </c>
      <c r="R37" s="78">
        <f t="shared" si="25"/>
        <v>55.809764588412094</v>
      </c>
      <c r="S37" s="80">
        <f>Q32*((1.025)^20)</f>
        <v>58.56370388255845</v>
      </c>
      <c r="U37" s="1">
        <v>7</v>
      </c>
      <c r="V37" s="209">
        <f t="shared" si="14"/>
        <v>23.184485164208507</v>
      </c>
      <c r="W37" s="209">
        <f t="shared" si="15"/>
        <v>29.016668308293674</v>
      </c>
      <c r="X37" s="209">
        <f t="shared" si="16"/>
        <v>31.918335139123048</v>
      </c>
      <c r="Y37" s="209">
        <f t="shared" si="17"/>
        <v>35.110168653035352</v>
      </c>
      <c r="Z37" s="209">
        <f t="shared" si="18"/>
        <v>38.621185518338891</v>
      </c>
      <c r="AA37" s="209">
        <f t="shared" si="19"/>
        <v>42.483304070172778</v>
      </c>
    </row>
    <row r="38" spans="1:27" ht="15" x14ac:dyDescent="0.25">
      <c r="A38" s="44"/>
      <c r="B38" s="36"/>
      <c r="C38" s="46"/>
      <c r="D38" s="36"/>
      <c r="E38" s="81"/>
      <c r="F38" s="81"/>
      <c r="G38" s="81"/>
      <c r="H38" s="81"/>
      <c r="I38" s="73"/>
      <c r="J38" s="73"/>
      <c r="M38" s="40"/>
      <c r="P38" s="1"/>
      <c r="U38" s="1">
        <v>8</v>
      </c>
      <c r="V38" s="209">
        <f t="shared" si="14"/>
        <v>23.764097293313718</v>
      </c>
      <c r="W38" s="209">
        <f t="shared" si="15"/>
        <v>29.742085016001013</v>
      </c>
      <c r="X38" s="209">
        <f t="shared" si="16"/>
        <v>32.716293517601123</v>
      </c>
      <c r="Y38" s="209">
        <f t="shared" si="17"/>
        <v>35.987922869361235</v>
      </c>
      <c r="Z38" s="209">
        <f t="shared" si="18"/>
        <v>39.586715156297359</v>
      </c>
      <c r="AA38" s="209">
        <f t="shared" si="19"/>
        <v>43.545386671927091</v>
      </c>
    </row>
    <row r="39" spans="1:27" x14ac:dyDescent="0.2">
      <c r="O39" s="40"/>
      <c r="P39" s="1"/>
      <c r="U39" s="1">
        <v>9</v>
      </c>
      <c r="V39" s="209">
        <f t="shared" si="14"/>
        <v>24.358199725646557</v>
      </c>
      <c r="W39" s="209">
        <f t="shared" si="15"/>
        <v>30.485637141401035</v>
      </c>
      <c r="X39" s="209">
        <f t="shared" si="16"/>
        <v>33.534200855541151</v>
      </c>
      <c r="Y39" s="209">
        <f t="shared" si="17"/>
        <v>36.887620941095264</v>
      </c>
      <c r="Z39" s="209">
        <f t="shared" si="18"/>
        <v>40.576383035204792</v>
      </c>
      <c r="AA39" s="209">
        <f t="shared" si="19"/>
        <v>44.634021338725262</v>
      </c>
    </row>
    <row r="40" spans="1:27" x14ac:dyDescent="0.2">
      <c r="U40" s="1">
        <v>10</v>
      </c>
      <c r="V40" s="209">
        <f t="shared" si="14"/>
        <v>24.967154718787718</v>
      </c>
      <c r="W40" s="209">
        <f t="shared" si="15"/>
        <v>31.247778069936057</v>
      </c>
      <c r="X40" s="209">
        <f t="shared" si="16"/>
        <v>34.372555876929674</v>
      </c>
      <c r="Y40" s="209">
        <f t="shared" si="17"/>
        <v>37.809811464622641</v>
      </c>
      <c r="Z40" s="209">
        <f t="shared" si="18"/>
        <v>41.590792611084908</v>
      </c>
      <c r="AA40" s="209">
        <f t="shared" si="19"/>
        <v>45.749871872193388</v>
      </c>
    </row>
    <row r="41" spans="1:27" x14ac:dyDescent="0.2">
      <c r="U41" s="1">
        <v>11</v>
      </c>
      <c r="V41" s="209">
        <f t="shared" si="14"/>
        <v>25.591333586757408</v>
      </c>
      <c r="W41" s="209">
        <f t="shared" si="15"/>
        <v>32.028972521684459</v>
      </c>
      <c r="X41" s="209">
        <f t="shared" si="16"/>
        <v>35.231869773852914</v>
      </c>
      <c r="Y41" s="209">
        <f t="shared" si="17"/>
        <v>38.7550567512382</v>
      </c>
      <c r="Z41" s="209">
        <f t="shared" si="18"/>
        <v>42.630562426362026</v>
      </c>
      <c r="AA41" s="209">
        <f t="shared" si="19"/>
        <v>46.893618668998222</v>
      </c>
    </row>
    <row r="42" spans="1:27" x14ac:dyDescent="0.2">
      <c r="D42" s="83"/>
      <c r="U42" s="1">
        <v>12</v>
      </c>
      <c r="V42" s="209">
        <f t="shared" si="14"/>
        <v>26.231116926426342</v>
      </c>
      <c r="W42" s="209">
        <f t="shared" si="15"/>
        <v>32.829696834726569</v>
      </c>
      <c r="X42" s="209">
        <f t="shared" si="16"/>
        <v>36.112666518199234</v>
      </c>
      <c r="Y42" s="209">
        <f t="shared" si="17"/>
        <v>39.723933170019151</v>
      </c>
      <c r="Z42" s="209">
        <f t="shared" si="18"/>
        <v>43.696326487021075</v>
      </c>
      <c r="AA42" s="209">
        <f t="shared" si="19"/>
        <v>48.065959135723176</v>
      </c>
    </row>
    <row r="43" spans="1:27" x14ac:dyDescent="0.2">
      <c r="D43" s="83"/>
      <c r="G43" s="35"/>
      <c r="U43" s="1">
        <v>13</v>
      </c>
      <c r="V43" s="209">
        <f t="shared" si="14"/>
        <v>26.886894849586998</v>
      </c>
      <c r="W43" s="209">
        <f t="shared" si="15"/>
        <v>33.650439255594733</v>
      </c>
      <c r="X43" s="209">
        <f t="shared" si="16"/>
        <v>37.01548318115421</v>
      </c>
      <c r="Y43" s="209">
        <f t="shared" si="17"/>
        <v>40.717031499269623</v>
      </c>
      <c r="Z43" s="209">
        <f t="shared" si="18"/>
        <v>44.788734649196599</v>
      </c>
      <c r="AA43" s="209">
        <f t="shared" si="19"/>
        <v>49.26760811411625</v>
      </c>
    </row>
    <row r="44" spans="1:27" x14ac:dyDescent="0.2">
      <c r="D44" s="83"/>
      <c r="U44" s="1">
        <v>14</v>
      </c>
      <c r="V44" s="209">
        <f t="shared" si="14"/>
        <v>27.55906722082667</v>
      </c>
      <c r="W44" s="209">
        <f t="shared" si="15"/>
        <v>34.491700236984599</v>
      </c>
      <c r="X44" s="209">
        <f t="shared" si="16"/>
        <v>37.940870260683063</v>
      </c>
      <c r="Y44" s="209">
        <f t="shared" si="17"/>
        <v>41.73495728675136</v>
      </c>
      <c r="Z44" s="209">
        <f t="shared" si="18"/>
        <v>45.90845301542651</v>
      </c>
      <c r="AA44" s="209">
        <f t="shared" si="19"/>
        <v>50.499298316969153</v>
      </c>
    </row>
    <row r="45" spans="1:27" x14ac:dyDescent="0.2">
      <c r="U45" s="1">
        <v>15</v>
      </c>
      <c r="V45" s="209">
        <f t="shared" si="14"/>
        <v>28.248043901347334</v>
      </c>
      <c r="W45" s="209">
        <f t="shared" si="15"/>
        <v>35.353992742909213</v>
      </c>
      <c r="X45" s="209">
        <f t="shared" si="16"/>
        <v>38.889392017200137</v>
      </c>
      <c r="Y45" s="209">
        <f t="shared" si="17"/>
        <v>42.778331218920144</v>
      </c>
      <c r="Z45" s="209">
        <f t="shared" si="18"/>
        <v>47.056164340812167</v>
      </c>
      <c r="AA45" s="209">
        <f t="shared" si="19"/>
        <v>51.761780774893374</v>
      </c>
    </row>
    <row r="46" spans="1:27" x14ac:dyDescent="0.2">
      <c r="U46" s="1">
        <v>16</v>
      </c>
      <c r="V46" s="209">
        <f t="shared" si="14"/>
        <v>28.954244998881016</v>
      </c>
      <c r="W46" s="209">
        <f t="shared" si="15"/>
        <v>36.237842561481941</v>
      </c>
      <c r="X46" s="209">
        <f t="shared" si="16"/>
        <v>39.861626817630139</v>
      </c>
      <c r="Y46" s="209">
        <f t="shared" si="17"/>
        <v>43.847789499393144</v>
      </c>
      <c r="Z46" s="209">
        <f t="shared" si="18"/>
        <v>48.232568449332469</v>
      </c>
      <c r="AA46" s="209">
        <f t="shared" si="19"/>
        <v>53.055825294265702</v>
      </c>
    </row>
    <row r="47" spans="1:27" x14ac:dyDescent="0.2">
      <c r="U47" s="1">
        <v>17</v>
      </c>
      <c r="V47" s="209">
        <f t="shared" si="14"/>
        <v>29.67810112385304</v>
      </c>
      <c r="W47" s="209">
        <f t="shared" si="15"/>
        <v>37.143788625518987</v>
      </c>
      <c r="X47" s="209">
        <f t="shared" si="16"/>
        <v>40.85816748807089</v>
      </c>
      <c r="Y47" s="209">
        <f t="shared" si="17"/>
        <v>44.943984236877967</v>
      </c>
      <c r="Z47" s="209">
        <f t="shared" si="18"/>
        <v>49.438382660565779</v>
      </c>
      <c r="AA47" s="209">
        <f t="shared" si="19"/>
        <v>54.382220926622338</v>
      </c>
    </row>
    <row r="48" spans="1:27" x14ac:dyDescent="0.2">
      <c r="U48" s="1">
        <v>18</v>
      </c>
      <c r="V48" s="209">
        <f t="shared" si="14"/>
        <v>30.420053651949363</v>
      </c>
      <c r="W48" s="209">
        <f t="shared" si="15"/>
        <v>38.072383341156957</v>
      </c>
      <c r="X48" s="209">
        <f t="shared" si="16"/>
        <v>41.879621675272659</v>
      </c>
      <c r="Y48" s="209">
        <f t="shared" si="17"/>
        <v>46.067583842799912</v>
      </c>
      <c r="Z48" s="209">
        <f t="shared" si="18"/>
        <v>50.674342227079919</v>
      </c>
      <c r="AA48" s="209">
        <f t="shared" si="19"/>
        <v>55.741776449787892</v>
      </c>
    </row>
    <row r="49" spans="1:27" x14ac:dyDescent="0.2">
      <c r="U49" s="1">
        <v>19</v>
      </c>
      <c r="V49" s="209">
        <f t="shared" si="14"/>
        <v>31.180554993248094</v>
      </c>
      <c r="W49" s="209">
        <f t="shared" si="15"/>
        <v>39.024192924685877</v>
      </c>
      <c r="X49" s="209">
        <f t="shared" si="16"/>
        <v>42.926612217154471</v>
      </c>
      <c r="Y49" s="209">
        <f t="shared" si="17"/>
        <v>47.219273438869905</v>
      </c>
      <c r="Z49" s="209">
        <f t="shared" si="18"/>
        <v>51.941200782756916</v>
      </c>
      <c r="AA49" s="209">
        <f t="shared" si="19"/>
        <v>57.135320861032582</v>
      </c>
    </row>
    <row r="50" spans="1:27" x14ac:dyDescent="0.2">
      <c r="U50" s="1">
        <v>20</v>
      </c>
      <c r="V50" s="209">
        <f t="shared" si="14"/>
        <v>31.960068868079293</v>
      </c>
      <c r="W50" s="209">
        <f t="shared" si="15"/>
        <v>39.999797747803022</v>
      </c>
      <c r="X50" s="209">
        <f t="shared" si="16"/>
        <v>43.999777522583329</v>
      </c>
      <c r="Y50" s="209">
        <f t="shared" si="17"/>
        <v>48.399755274841645</v>
      </c>
      <c r="Z50" s="209">
        <f t="shared" si="18"/>
        <v>53.23973080232583</v>
      </c>
      <c r="AA50" s="209">
        <f t="shared" si="19"/>
        <v>58.563703882558393</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9" t="s">
        <v>151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2" spans="1:26" ht="15.75" x14ac:dyDescent="0.25">
      <c r="A2" s="222" t="s">
        <v>380</v>
      </c>
    </row>
    <row r="3" spans="1:26" x14ac:dyDescent="0.25">
      <c r="A3" s="12">
        <v>225</v>
      </c>
    </row>
    <row r="4" spans="1:26" ht="20.25" x14ac:dyDescent="0.3">
      <c r="A4" s="171"/>
      <c r="B4" s="171"/>
      <c r="C4" s="171"/>
      <c r="D4" s="171"/>
      <c r="E4" s="171"/>
      <c r="F4" s="171"/>
      <c r="G4" s="171"/>
      <c r="H4" s="171"/>
      <c r="I4" s="171"/>
      <c r="J4" s="171"/>
      <c r="K4" s="171"/>
      <c r="L4" s="171"/>
      <c r="M4" s="171"/>
      <c r="N4" s="171"/>
      <c r="O4" s="171"/>
    </row>
    <row r="5" spans="1:26" ht="15.75" x14ac:dyDescent="0.25">
      <c r="A5" s="314" t="s">
        <v>152</v>
      </c>
      <c r="B5" s="314"/>
      <c r="C5" s="314"/>
      <c r="E5" s="314" t="s">
        <v>153</v>
      </c>
      <c r="F5" s="314"/>
      <c r="G5" s="314"/>
      <c r="I5" s="314" t="s">
        <v>154</v>
      </c>
      <c r="J5" s="314"/>
      <c r="K5" s="314"/>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1</v>
      </c>
      <c r="C7" s="19">
        <f>B7/A3</f>
        <v>4.4444444444444444E-3</v>
      </c>
      <c r="E7" s="23" t="s">
        <v>162</v>
      </c>
      <c r="F7" s="18"/>
      <c r="G7" s="19">
        <v>1.4999999999999999E-2</v>
      </c>
      <c r="I7" s="23" t="s">
        <v>163</v>
      </c>
      <c r="J7" s="18">
        <v>195</v>
      </c>
      <c r="K7" s="19">
        <f>J7/A3</f>
        <v>0.8666666666666667</v>
      </c>
      <c r="M7" s="23" t="s">
        <v>164</v>
      </c>
      <c r="N7" s="18">
        <v>4</v>
      </c>
      <c r="O7" s="19">
        <f>N7/A3</f>
        <v>1.7777777777777778E-2</v>
      </c>
    </row>
    <row r="8" spans="1:26" x14ac:dyDescent="0.25">
      <c r="A8" s="20" t="s">
        <v>165</v>
      </c>
      <c r="B8" s="21">
        <v>28</v>
      </c>
      <c r="C8" s="22">
        <f>B8/A3</f>
        <v>0.12444444444444444</v>
      </c>
      <c r="E8" s="24" t="s">
        <v>166</v>
      </c>
      <c r="F8" s="21"/>
      <c r="G8" s="19">
        <v>0.125</v>
      </c>
      <c r="I8" s="24" t="s">
        <v>167</v>
      </c>
      <c r="J8" s="21">
        <v>15</v>
      </c>
      <c r="K8" s="19">
        <f>J8/A3</f>
        <v>6.6666666666666666E-2</v>
      </c>
      <c r="M8" s="24" t="s">
        <v>168</v>
      </c>
      <c r="N8" s="21">
        <v>221</v>
      </c>
      <c r="O8" s="22">
        <f>N8/A3</f>
        <v>0.98222222222222222</v>
      </c>
    </row>
    <row r="9" spans="1:26" x14ac:dyDescent="0.25">
      <c r="A9" s="20" t="s">
        <v>169</v>
      </c>
      <c r="B9" s="21">
        <v>58</v>
      </c>
      <c r="C9" s="22">
        <f>B9/A3</f>
        <v>0.25777777777777777</v>
      </c>
      <c r="E9" s="24" t="s">
        <v>170</v>
      </c>
      <c r="F9" s="21"/>
      <c r="G9" s="19">
        <v>0.20499999999999999</v>
      </c>
      <c r="I9" s="24" t="s">
        <v>171</v>
      </c>
      <c r="J9" s="21">
        <v>6</v>
      </c>
      <c r="K9" s="19">
        <f>J9/A3</f>
        <v>2.6666666666666668E-2</v>
      </c>
    </row>
    <row r="10" spans="1:26" x14ac:dyDescent="0.25">
      <c r="A10" s="20" t="s">
        <v>172</v>
      </c>
      <c r="B10" s="21">
        <v>57</v>
      </c>
      <c r="C10" s="22">
        <f>B10/A3</f>
        <v>0.25333333333333335</v>
      </c>
      <c r="E10" s="24" t="s">
        <v>173</v>
      </c>
      <c r="F10" s="21"/>
      <c r="G10" s="19">
        <v>0.13500000000000001</v>
      </c>
      <c r="I10" s="24" t="s">
        <v>174</v>
      </c>
      <c r="J10" s="21">
        <v>5</v>
      </c>
      <c r="K10" s="19">
        <f>J10/A3</f>
        <v>2.2222222222222223E-2</v>
      </c>
    </row>
    <row r="11" spans="1:26" x14ac:dyDescent="0.25">
      <c r="A11" s="20" t="s">
        <v>175</v>
      </c>
      <c r="B11" s="21">
        <v>45</v>
      </c>
      <c r="C11" s="22">
        <f>B11/A3</f>
        <v>0.2</v>
      </c>
      <c r="E11" s="24" t="s">
        <v>176</v>
      </c>
      <c r="F11" s="21"/>
      <c r="G11" s="19">
        <v>0.35299999999999998</v>
      </c>
      <c r="I11" s="24" t="s">
        <v>177</v>
      </c>
      <c r="J11" s="21">
        <v>2</v>
      </c>
      <c r="K11" s="19">
        <f>J11/A3</f>
        <v>8.8888888888888889E-3</v>
      </c>
    </row>
    <row r="12" spans="1:26" x14ac:dyDescent="0.25">
      <c r="A12" s="20" t="s">
        <v>178</v>
      </c>
      <c r="B12" s="21">
        <v>27</v>
      </c>
      <c r="C12" s="22">
        <f>B12/A3</f>
        <v>0.12</v>
      </c>
      <c r="E12" s="24" t="s">
        <v>179</v>
      </c>
      <c r="F12" s="21"/>
      <c r="G12" s="19">
        <v>0.154</v>
      </c>
      <c r="I12" s="24" t="s">
        <v>180</v>
      </c>
      <c r="J12" s="21">
        <v>2</v>
      </c>
      <c r="K12" s="19">
        <f>J12/A3</f>
        <v>8.8888888888888889E-3</v>
      </c>
    </row>
    <row r="13" spans="1:26" x14ac:dyDescent="0.25">
      <c r="A13" s="20" t="s">
        <v>181</v>
      </c>
      <c r="B13" s="21">
        <v>9</v>
      </c>
      <c r="C13" s="22">
        <f>B13/A3</f>
        <v>0.04</v>
      </c>
      <c r="E13" s="24" t="s">
        <v>182</v>
      </c>
      <c r="F13" s="21"/>
      <c r="G13" s="19">
        <v>1.2E-2</v>
      </c>
      <c r="I13" s="24" t="s">
        <v>183</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topLeftCell="A31" zoomScaleNormal="100" workbookViewId="0">
      <selection activeCell="T38" sqref="T38"/>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9" t="s">
        <v>184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row>
    <row r="4" spans="1:26" ht="18.75" x14ac:dyDescent="0.3">
      <c r="A4" s="318" t="s">
        <v>185</v>
      </c>
      <c r="B4" s="318"/>
      <c r="C4" s="318"/>
      <c r="D4" s="318"/>
      <c r="E4" s="318"/>
      <c r="F4" s="318"/>
      <c r="G4" s="318"/>
      <c r="H4" s="318"/>
    </row>
    <row r="5" spans="1:26" ht="36" customHeight="1" x14ac:dyDescent="0.25">
      <c r="A5" s="316" t="s">
        <v>186</v>
      </c>
      <c r="B5" s="317" t="s">
        <v>187</v>
      </c>
      <c r="C5" s="317" t="s">
        <v>188</v>
      </c>
      <c r="D5" s="317" t="s">
        <v>189</v>
      </c>
      <c r="E5" s="317" t="s">
        <v>190</v>
      </c>
      <c r="F5" s="317"/>
      <c r="G5" s="317" t="s">
        <v>191</v>
      </c>
      <c r="H5" s="317"/>
      <c r="P5"/>
      <c r="R5" s="10"/>
    </row>
    <row r="6" spans="1:26" ht="15.75" thickBot="1" x14ac:dyDescent="0.3">
      <c r="A6" s="316"/>
      <c r="B6" s="317"/>
      <c r="C6" s="317"/>
      <c r="D6" s="319"/>
      <c r="E6" s="163" t="s">
        <v>192</v>
      </c>
      <c r="F6" s="163" t="s">
        <v>193</v>
      </c>
      <c r="G6" s="163" t="s">
        <v>192</v>
      </c>
      <c r="H6" s="163" t="s">
        <v>193</v>
      </c>
      <c r="P6"/>
      <c r="R6" s="10"/>
    </row>
    <row r="7" spans="1:26" ht="15.75" thickBot="1" x14ac:dyDescent="0.3">
      <c r="A7" s="195" t="s">
        <v>194</v>
      </c>
      <c r="B7" s="196">
        <v>1</v>
      </c>
      <c r="C7" s="197">
        <f>'1A'!B11</f>
        <v>14.79</v>
      </c>
      <c r="D7" s="198" t="s">
        <v>57</v>
      </c>
      <c r="E7" s="199">
        <f t="shared" ref="E7:E12" si="0">W19-B19</f>
        <v>11</v>
      </c>
      <c r="F7" s="200">
        <f t="shared" ref="F7:F12" si="1">W29</f>
        <v>5.1401869158878503E-2</v>
      </c>
      <c r="G7" s="201">
        <f t="shared" ref="G7:G12" si="2">S38-B38</f>
        <v>5.7299999999999986</v>
      </c>
      <c r="H7" s="202">
        <f t="shared" ref="H7:H12" si="3">S48</f>
        <v>0.6324503311258276</v>
      </c>
      <c r="P7"/>
      <c r="R7" s="10"/>
    </row>
    <row r="8" spans="1:26" ht="15.75" thickTop="1" x14ac:dyDescent="0.25">
      <c r="A8" s="178" t="s">
        <v>195</v>
      </c>
      <c r="B8" s="172">
        <v>0.97</v>
      </c>
      <c r="C8" s="185">
        <f>S39</f>
        <v>28.64</v>
      </c>
      <c r="D8" s="204">
        <f>C8-C7</f>
        <v>13.850000000000001</v>
      </c>
      <c r="E8" s="174">
        <f t="shared" si="0"/>
        <v>-45</v>
      </c>
      <c r="F8" s="173">
        <f t="shared" si="1"/>
        <v>-0.46875</v>
      </c>
      <c r="G8" s="176">
        <f t="shared" si="2"/>
        <v>5.2899999999999991</v>
      </c>
      <c r="H8" s="177">
        <f t="shared" si="3"/>
        <v>0.22655246252676656</v>
      </c>
      <c r="P8"/>
      <c r="R8" s="10"/>
    </row>
    <row r="9" spans="1:26" x14ac:dyDescent="0.25">
      <c r="A9" s="178" t="s">
        <v>196</v>
      </c>
      <c r="B9" s="164">
        <v>0.96</v>
      </c>
      <c r="C9" s="185">
        <f t="shared" ref="C9:C12" si="4">S40</f>
        <v>17.27</v>
      </c>
      <c r="D9" s="204">
        <f>C9-C7</f>
        <v>2.4800000000000004</v>
      </c>
      <c r="E9" s="174">
        <f t="shared" si="0"/>
        <v>3</v>
      </c>
      <c r="F9" s="173">
        <f t="shared" si="1"/>
        <v>1.8867924528301886E-2</v>
      </c>
      <c r="G9" s="175">
        <f t="shared" si="2"/>
        <v>1.5199999999999996</v>
      </c>
      <c r="H9" s="177">
        <f>S50</f>
        <v>9.6507936507936487E-2</v>
      </c>
      <c r="P9"/>
      <c r="R9" s="10"/>
    </row>
    <row r="10" spans="1:26" x14ac:dyDescent="0.25">
      <c r="A10" s="178" t="s">
        <v>197</v>
      </c>
      <c r="B10" s="164">
        <v>0.93</v>
      </c>
      <c r="C10" s="185">
        <f t="shared" si="4"/>
        <v>15.74</v>
      </c>
      <c r="D10" s="210">
        <f>C10-C7</f>
        <v>0.95000000000000107</v>
      </c>
      <c r="E10" s="174">
        <f t="shared" si="0"/>
        <v>-420</v>
      </c>
      <c r="F10" s="173">
        <f t="shared" si="1"/>
        <v>-0.43254376930998972</v>
      </c>
      <c r="G10" s="175">
        <f t="shared" si="2"/>
        <v>5.73</v>
      </c>
      <c r="H10" s="177">
        <f t="shared" si="3"/>
        <v>0.57242757242757247</v>
      </c>
      <c r="P10"/>
      <c r="R10" s="10"/>
    </row>
    <row r="11" spans="1:26" x14ac:dyDescent="0.25">
      <c r="A11" s="178" t="s">
        <v>198</v>
      </c>
      <c r="B11" s="164">
        <v>0.93</v>
      </c>
      <c r="C11" s="185">
        <f t="shared" si="4"/>
        <v>21.55</v>
      </c>
      <c r="D11" s="204">
        <f>C11-C7</f>
        <v>6.7600000000000016</v>
      </c>
      <c r="E11" s="174">
        <f t="shared" si="0"/>
        <v>-59</v>
      </c>
      <c r="F11" s="173">
        <f t="shared" si="1"/>
        <v>-0.5130434782608696</v>
      </c>
      <c r="G11" s="175">
        <f t="shared" si="2"/>
        <v>9.4300000000000015</v>
      </c>
      <c r="H11" s="177">
        <f t="shared" si="3"/>
        <v>0.77805280528052823</v>
      </c>
      <c r="P11"/>
      <c r="R11" s="10"/>
    </row>
    <row r="12" spans="1:26" ht="15.75" thickBot="1" x14ac:dyDescent="0.3">
      <c r="A12" s="179" t="s">
        <v>199</v>
      </c>
      <c r="B12" s="180">
        <v>0.92</v>
      </c>
      <c r="C12" s="186">
        <f t="shared" si="4"/>
        <v>17.55</v>
      </c>
      <c r="D12" s="205">
        <f>C12-C7</f>
        <v>2.7600000000000016</v>
      </c>
      <c r="E12" s="181">
        <f t="shared" si="0"/>
        <v>-1015</v>
      </c>
      <c r="F12" s="182">
        <f t="shared" si="1"/>
        <v>-0.27800602574637084</v>
      </c>
      <c r="G12" s="183">
        <f t="shared" si="2"/>
        <v>6.16</v>
      </c>
      <c r="H12" s="184">
        <f t="shared" si="3"/>
        <v>0.54082528533801577</v>
      </c>
      <c r="P12"/>
      <c r="R12" s="10"/>
    </row>
    <row r="13" spans="1:26" x14ac:dyDescent="0.25">
      <c r="A13" s="1"/>
      <c r="B13" s="35"/>
      <c r="C13" s="35"/>
      <c r="D13" s="36"/>
      <c r="G13" s="215">
        <f>G7-G11</f>
        <v>-3.7000000000000028</v>
      </c>
    </row>
    <row r="14" spans="1:26" x14ac:dyDescent="0.25">
      <c r="G14" s="215"/>
    </row>
    <row r="15" spans="1:26" x14ac:dyDescent="0.25">
      <c r="G15" s="215"/>
    </row>
    <row r="17" spans="1:26" ht="15.75" x14ac:dyDescent="0.25">
      <c r="A17" s="315" t="s">
        <v>200</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194</v>
      </c>
      <c r="B19" s="166">
        <v>214</v>
      </c>
      <c r="C19" s="166">
        <v>216</v>
      </c>
      <c r="D19" s="166">
        <v>221</v>
      </c>
      <c r="E19" s="166">
        <v>223</v>
      </c>
      <c r="F19" s="166">
        <v>221</v>
      </c>
      <c r="G19" s="166">
        <v>248</v>
      </c>
      <c r="H19" s="166">
        <v>251</v>
      </c>
      <c r="I19" s="166">
        <v>265</v>
      </c>
      <c r="J19" s="166">
        <v>270</v>
      </c>
      <c r="K19" s="166">
        <v>257</v>
      </c>
      <c r="L19" s="166">
        <v>231</v>
      </c>
      <c r="M19" s="166">
        <v>235</v>
      </c>
      <c r="N19" s="166">
        <v>246</v>
      </c>
      <c r="O19" s="166">
        <v>242</v>
      </c>
      <c r="P19" s="166">
        <v>238</v>
      </c>
      <c r="Q19" s="166">
        <v>239</v>
      </c>
      <c r="R19" s="166">
        <v>257</v>
      </c>
      <c r="S19" s="166">
        <v>265</v>
      </c>
      <c r="T19" s="166">
        <v>265</v>
      </c>
      <c r="U19" s="166">
        <v>232</v>
      </c>
      <c r="V19" s="166">
        <v>243</v>
      </c>
      <c r="W19" s="166">
        <v>225</v>
      </c>
    </row>
    <row r="20" spans="1:26" ht="15.75" thickTop="1" x14ac:dyDescent="0.25">
      <c r="A20" s="143" t="s">
        <v>195</v>
      </c>
      <c r="B20" s="144">
        <v>96</v>
      </c>
      <c r="C20" s="144">
        <v>98</v>
      </c>
      <c r="D20" s="144">
        <v>88</v>
      </c>
      <c r="E20" s="144">
        <v>84</v>
      </c>
      <c r="F20" s="144">
        <v>86</v>
      </c>
      <c r="G20" s="144">
        <v>51</v>
      </c>
      <c r="H20" s="144">
        <v>52</v>
      </c>
      <c r="I20" s="144">
        <v>61</v>
      </c>
      <c r="J20" s="144">
        <v>69</v>
      </c>
      <c r="K20" s="144">
        <v>75</v>
      </c>
      <c r="L20" s="144">
        <v>70</v>
      </c>
      <c r="M20" s="144">
        <v>71</v>
      </c>
      <c r="N20" s="144">
        <v>75</v>
      </c>
      <c r="O20" s="144">
        <v>79</v>
      </c>
      <c r="P20" s="144">
        <v>75</v>
      </c>
      <c r="Q20" s="144">
        <v>66</v>
      </c>
      <c r="R20" s="144">
        <v>55</v>
      </c>
      <c r="S20" s="144">
        <v>46</v>
      </c>
      <c r="T20" s="144">
        <v>49</v>
      </c>
      <c r="U20" s="144">
        <v>48</v>
      </c>
      <c r="V20" s="144">
        <v>48</v>
      </c>
      <c r="W20" s="144">
        <v>51</v>
      </c>
    </row>
    <row r="21" spans="1:26" x14ac:dyDescent="0.25">
      <c r="A21" s="143" t="s">
        <v>196</v>
      </c>
      <c r="B21" s="144">
        <v>159</v>
      </c>
      <c r="C21" s="144">
        <v>165</v>
      </c>
      <c r="D21" s="144">
        <v>176</v>
      </c>
      <c r="E21" s="144">
        <v>176</v>
      </c>
      <c r="F21" s="144">
        <v>193</v>
      </c>
      <c r="G21" s="144">
        <v>194</v>
      </c>
      <c r="H21" s="144">
        <v>179</v>
      </c>
      <c r="I21" s="144">
        <v>173</v>
      </c>
      <c r="J21" s="144">
        <v>174</v>
      </c>
      <c r="K21" s="144">
        <v>183</v>
      </c>
      <c r="L21" s="144">
        <v>188</v>
      </c>
      <c r="M21" s="144">
        <v>191</v>
      </c>
      <c r="N21" s="144">
        <v>192</v>
      </c>
      <c r="O21" s="144">
        <v>193</v>
      </c>
      <c r="P21" s="144">
        <v>193</v>
      </c>
      <c r="Q21" s="144">
        <v>210</v>
      </c>
      <c r="R21" s="144">
        <v>223</v>
      </c>
      <c r="S21" s="144">
        <v>228</v>
      </c>
      <c r="T21" s="144">
        <v>235</v>
      </c>
      <c r="U21" s="144">
        <v>187</v>
      </c>
      <c r="V21" s="144">
        <v>154</v>
      </c>
      <c r="W21" s="144">
        <v>162</v>
      </c>
    </row>
    <row r="22" spans="1:26" x14ac:dyDescent="0.25">
      <c r="A22" s="143" t="s">
        <v>197</v>
      </c>
      <c r="B22" s="144">
        <v>971</v>
      </c>
      <c r="C22" s="144">
        <v>988</v>
      </c>
      <c r="D22" s="144">
        <v>999</v>
      </c>
      <c r="E22" s="144">
        <v>985</v>
      </c>
      <c r="F22" s="144">
        <v>976</v>
      </c>
      <c r="G22" s="144">
        <v>977</v>
      </c>
      <c r="H22" s="144">
        <v>986</v>
      </c>
      <c r="I22" s="144">
        <v>983</v>
      </c>
      <c r="J22" s="144">
        <v>989</v>
      </c>
      <c r="K22" s="144">
        <v>1006</v>
      </c>
      <c r="L22" s="144">
        <v>1047</v>
      </c>
      <c r="M22" s="144">
        <v>1018</v>
      </c>
      <c r="N22" s="144">
        <v>998</v>
      </c>
      <c r="O22" s="144">
        <v>998</v>
      </c>
      <c r="P22" s="144">
        <v>990</v>
      </c>
      <c r="Q22" s="144">
        <v>944</v>
      </c>
      <c r="R22" s="144">
        <v>910</v>
      </c>
      <c r="S22" s="144">
        <v>850</v>
      </c>
      <c r="T22" s="144">
        <v>788</v>
      </c>
      <c r="U22" s="144">
        <v>695</v>
      </c>
      <c r="V22" s="144">
        <v>587</v>
      </c>
      <c r="W22" s="144">
        <v>551</v>
      </c>
    </row>
    <row r="23" spans="1:26" x14ac:dyDescent="0.25">
      <c r="A23" s="143" t="s">
        <v>198</v>
      </c>
      <c r="B23" s="144">
        <v>115</v>
      </c>
      <c r="C23" s="144">
        <v>117</v>
      </c>
      <c r="D23" s="144">
        <v>117</v>
      </c>
      <c r="E23" s="144">
        <v>119</v>
      </c>
      <c r="F23" s="144">
        <v>118</v>
      </c>
      <c r="G23" s="144">
        <v>119</v>
      </c>
      <c r="H23" s="144">
        <v>121</v>
      </c>
      <c r="I23" s="144">
        <v>123</v>
      </c>
      <c r="J23" s="144">
        <v>133</v>
      </c>
      <c r="K23" s="144">
        <v>134</v>
      </c>
      <c r="L23" s="144">
        <v>152</v>
      </c>
      <c r="M23" s="144">
        <v>155</v>
      </c>
      <c r="N23" s="144">
        <v>160</v>
      </c>
      <c r="O23" s="144">
        <v>158</v>
      </c>
      <c r="P23" s="144">
        <v>167</v>
      </c>
      <c r="Q23" s="144">
        <v>173</v>
      </c>
      <c r="R23" s="144">
        <v>188</v>
      </c>
      <c r="S23" s="144">
        <v>196</v>
      </c>
      <c r="T23" s="144">
        <v>140</v>
      </c>
      <c r="U23" s="144">
        <v>99</v>
      </c>
      <c r="V23" s="144">
        <v>75</v>
      </c>
      <c r="W23" s="144">
        <v>56</v>
      </c>
    </row>
    <row r="24" spans="1:26" x14ac:dyDescent="0.25">
      <c r="A24" s="143" t="s">
        <v>199</v>
      </c>
      <c r="B24" s="146">
        <v>3651</v>
      </c>
      <c r="C24" s="146">
        <v>3626</v>
      </c>
      <c r="D24" s="146">
        <v>3590</v>
      </c>
      <c r="E24" s="146">
        <v>3571</v>
      </c>
      <c r="F24" s="146">
        <v>3595</v>
      </c>
      <c r="G24" s="146">
        <v>3666</v>
      </c>
      <c r="H24" s="146">
        <v>3553</v>
      </c>
      <c r="I24" s="146">
        <v>3464</v>
      </c>
      <c r="J24" s="146">
        <v>3321</v>
      </c>
      <c r="K24" s="146">
        <v>3405</v>
      </c>
      <c r="L24" s="146">
        <v>3410</v>
      </c>
      <c r="M24" s="146">
        <v>3335</v>
      </c>
      <c r="N24" s="146">
        <v>3298</v>
      </c>
      <c r="O24" s="146">
        <v>3146</v>
      </c>
      <c r="P24" s="146">
        <v>2958</v>
      </c>
      <c r="Q24" s="146">
        <v>2787</v>
      </c>
      <c r="R24" s="146">
        <v>2786</v>
      </c>
      <c r="S24" s="146">
        <v>2855</v>
      </c>
      <c r="T24" s="146">
        <v>2981</v>
      </c>
      <c r="U24" s="146">
        <v>2979</v>
      </c>
      <c r="V24" s="146">
        <v>2890</v>
      </c>
      <c r="W24" s="146">
        <v>2636</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201</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194</v>
      </c>
      <c r="B29" s="167">
        <f t="shared" ref="B29:B34" si="5">(B19-B19)/B19</f>
        <v>0</v>
      </c>
      <c r="C29" s="167">
        <f t="shared" ref="C29:C34" si="6">(C19-B19)/B19</f>
        <v>9.3457943925233638E-3</v>
      </c>
      <c r="D29" s="167">
        <f t="shared" ref="D29:D34" si="7">(D19-B19)/B19</f>
        <v>3.2710280373831772E-2</v>
      </c>
      <c r="E29" s="167">
        <f t="shared" ref="E29:E34" si="8">(E19-B19)/B19</f>
        <v>4.2056074766355138E-2</v>
      </c>
      <c r="F29" s="167">
        <f t="shared" ref="F29:F34" si="9">(F19-B19)/B19</f>
        <v>3.2710280373831772E-2</v>
      </c>
      <c r="G29" s="167">
        <f t="shared" ref="G29:G34" si="10">(G19-B19)/B19</f>
        <v>0.15887850467289719</v>
      </c>
      <c r="H29" s="167">
        <f t="shared" ref="H29:H34" si="11">(H19-B19)/B19</f>
        <v>0.17289719626168223</v>
      </c>
      <c r="I29" s="167">
        <f t="shared" ref="I29:I34" si="12">(I19-B19)/B19</f>
        <v>0.23831775700934579</v>
      </c>
      <c r="J29" s="167">
        <f t="shared" ref="J29:J34" si="13">(J19-B19)/B19</f>
        <v>0.26168224299065418</v>
      </c>
      <c r="K29" s="167">
        <f t="shared" ref="K29:K34" si="14">(K19-B19)/B19</f>
        <v>0.20093457943925233</v>
      </c>
      <c r="L29" s="167">
        <f t="shared" ref="L29:L34" si="15">(L19-B19)/B19</f>
        <v>7.9439252336448593E-2</v>
      </c>
      <c r="M29" s="167">
        <f t="shared" ref="M29:M34" si="16">(M19-B19)/B19</f>
        <v>9.8130841121495324E-2</v>
      </c>
      <c r="N29" s="167">
        <f t="shared" ref="N29:N34" si="17">(N19-B19)/B19</f>
        <v>0.14953271028037382</v>
      </c>
      <c r="O29" s="167">
        <f t="shared" ref="O29:O34" si="18">(O19-B19)/B19</f>
        <v>0.13084112149532709</v>
      </c>
      <c r="P29" s="167">
        <f t="shared" ref="P29:P34" si="19">(P19-B19)/B19</f>
        <v>0.11214953271028037</v>
      </c>
      <c r="Q29" s="167">
        <f t="shared" ref="Q29:Q34" si="20">(Q19-B19)/B19</f>
        <v>0.11682242990654206</v>
      </c>
      <c r="R29" s="167">
        <f t="shared" ref="R29:R34" si="21">(R19-B19)/B19</f>
        <v>0.20093457943925233</v>
      </c>
      <c r="S29" s="167">
        <f t="shared" ref="S29:S34" si="22">(S19-B19)/B19</f>
        <v>0.23831775700934579</v>
      </c>
      <c r="T29" s="167">
        <f t="shared" ref="T29:T34" si="23">(T19-B19)/B19</f>
        <v>0.23831775700934579</v>
      </c>
      <c r="U29" s="167">
        <f t="shared" ref="U29:U34" si="24">(U19-B19)/B19</f>
        <v>8.4112149532710276E-2</v>
      </c>
      <c r="V29" s="167">
        <f t="shared" ref="V29:V34" si="25">(V19-B19)/B19</f>
        <v>0.13551401869158877</v>
      </c>
      <c r="W29" s="167">
        <f t="shared" ref="W29:W34" si="26">(W19-B19)/B19</f>
        <v>5.1401869158878503E-2</v>
      </c>
      <c r="Y29" s="215" t="s">
        <v>196</v>
      </c>
      <c r="Z29" s="216">
        <v>1.5199999999999996</v>
      </c>
    </row>
    <row r="30" spans="1:26" ht="15.75" thickTop="1" x14ac:dyDescent="0.25">
      <c r="A30" s="143" t="s">
        <v>195</v>
      </c>
      <c r="B30" s="147">
        <f t="shared" si="5"/>
        <v>0</v>
      </c>
      <c r="C30" s="147">
        <f t="shared" si="6"/>
        <v>2.0833333333333332E-2</v>
      </c>
      <c r="D30" s="147">
        <f t="shared" si="7"/>
        <v>-8.3333333333333329E-2</v>
      </c>
      <c r="E30" s="147">
        <f t="shared" si="8"/>
        <v>-0.125</v>
      </c>
      <c r="F30" s="147">
        <f t="shared" si="9"/>
        <v>-0.10416666666666667</v>
      </c>
      <c r="G30" s="147">
        <f t="shared" si="10"/>
        <v>-0.46875</v>
      </c>
      <c r="H30" s="147">
        <f t="shared" si="11"/>
        <v>-0.45833333333333331</v>
      </c>
      <c r="I30" s="147">
        <f t="shared" si="12"/>
        <v>-0.36458333333333331</v>
      </c>
      <c r="J30" s="147">
        <f t="shared" si="13"/>
        <v>-0.28125</v>
      </c>
      <c r="K30" s="147">
        <f t="shared" si="14"/>
        <v>-0.21875</v>
      </c>
      <c r="L30" s="147">
        <f t="shared" si="15"/>
        <v>-0.27083333333333331</v>
      </c>
      <c r="M30" s="147">
        <f t="shared" si="16"/>
        <v>-0.26041666666666669</v>
      </c>
      <c r="N30" s="147">
        <f t="shared" si="17"/>
        <v>-0.21875</v>
      </c>
      <c r="O30" s="147">
        <f t="shared" si="18"/>
        <v>-0.17708333333333334</v>
      </c>
      <c r="P30" s="147">
        <f t="shared" si="19"/>
        <v>-0.21875</v>
      </c>
      <c r="Q30" s="147">
        <f t="shared" si="20"/>
        <v>-0.3125</v>
      </c>
      <c r="R30" s="147">
        <f t="shared" si="21"/>
        <v>-0.42708333333333331</v>
      </c>
      <c r="S30" s="147">
        <f t="shared" si="22"/>
        <v>-0.52083333333333337</v>
      </c>
      <c r="T30" s="147">
        <f t="shared" si="23"/>
        <v>-0.48958333333333331</v>
      </c>
      <c r="U30" s="147">
        <f t="shared" si="24"/>
        <v>-0.5</v>
      </c>
      <c r="V30" s="147">
        <f t="shared" si="25"/>
        <v>-0.5</v>
      </c>
      <c r="W30" s="147">
        <f t="shared" si="26"/>
        <v>-0.46875</v>
      </c>
      <c r="Y30" s="215" t="s">
        <v>195</v>
      </c>
      <c r="Z30" s="216">
        <v>5.2899999999999991</v>
      </c>
    </row>
    <row r="31" spans="1:26" x14ac:dyDescent="0.25">
      <c r="A31" s="143" t="s">
        <v>196</v>
      </c>
      <c r="B31" s="147">
        <f t="shared" si="5"/>
        <v>0</v>
      </c>
      <c r="C31" s="147">
        <f t="shared" si="6"/>
        <v>3.7735849056603772E-2</v>
      </c>
      <c r="D31" s="147">
        <f t="shared" si="7"/>
        <v>0.1069182389937107</v>
      </c>
      <c r="E31" s="147">
        <f t="shared" si="8"/>
        <v>0.1069182389937107</v>
      </c>
      <c r="F31" s="147">
        <f t="shared" si="9"/>
        <v>0.21383647798742139</v>
      </c>
      <c r="G31" s="147">
        <f t="shared" si="10"/>
        <v>0.22012578616352202</v>
      </c>
      <c r="H31" s="147">
        <f t="shared" si="11"/>
        <v>0.12578616352201258</v>
      </c>
      <c r="I31" s="147">
        <f t="shared" si="12"/>
        <v>8.8050314465408799E-2</v>
      </c>
      <c r="J31" s="147">
        <f t="shared" si="13"/>
        <v>9.4339622641509441E-2</v>
      </c>
      <c r="K31" s="147">
        <f t="shared" si="14"/>
        <v>0.15094339622641509</v>
      </c>
      <c r="L31" s="147">
        <f t="shared" si="15"/>
        <v>0.18238993710691823</v>
      </c>
      <c r="M31" s="147">
        <f t="shared" si="16"/>
        <v>0.20125786163522014</v>
      </c>
      <c r="N31" s="147">
        <f t="shared" si="17"/>
        <v>0.20754716981132076</v>
      </c>
      <c r="O31" s="147">
        <f t="shared" si="18"/>
        <v>0.21383647798742139</v>
      </c>
      <c r="P31" s="147">
        <f t="shared" si="19"/>
        <v>0.21383647798742139</v>
      </c>
      <c r="Q31" s="147">
        <f t="shared" si="20"/>
        <v>0.32075471698113206</v>
      </c>
      <c r="R31" s="147">
        <f t="shared" si="21"/>
        <v>0.40251572327044027</v>
      </c>
      <c r="S31" s="147">
        <f t="shared" si="22"/>
        <v>0.43396226415094341</v>
      </c>
      <c r="T31" s="147">
        <f t="shared" si="23"/>
        <v>0.4779874213836478</v>
      </c>
      <c r="U31" s="147">
        <f t="shared" si="24"/>
        <v>0.1761006289308176</v>
      </c>
      <c r="V31" s="147">
        <f t="shared" si="25"/>
        <v>-3.1446540880503145E-2</v>
      </c>
      <c r="W31" s="147">
        <f t="shared" si="26"/>
        <v>1.8867924528301886E-2</v>
      </c>
      <c r="Y31" s="215" t="s">
        <v>194</v>
      </c>
      <c r="Z31" s="216">
        <v>5.7299999999999986</v>
      </c>
    </row>
    <row r="32" spans="1:26" x14ac:dyDescent="0.25">
      <c r="A32" s="143" t="s">
        <v>197</v>
      </c>
      <c r="B32" s="147">
        <f t="shared" si="5"/>
        <v>0</v>
      </c>
      <c r="C32" s="147">
        <f t="shared" si="6"/>
        <v>1.7507723995880537E-2</v>
      </c>
      <c r="D32" s="147">
        <f t="shared" si="7"/>
        <v>2.8836251287332648E-2</v>
      </c>
      <c r="E32" s="147">
        <f t="shared" si="8"/>
        <v>1.4418125643666324E-2</v>
      </c>
      <c r="F32" s="147">
        <f t="shared" si="9"/>
        <v>5.1493305870236872E-3</v>
      </c>
      <c r="G32" s="147">
        <f t="shared" si="10"/>
        <v>6.1791967044284241E-3</v>
      </c>
      <c r="H32" s="147">
        <f t="shared" si="11"/>
        <v>1.5447991761071062E-2</v>
      </c>
      <c r="I32" s="147">
        <f t="shared" si="12"/>
        <v>1.2358393408856848E-2</v>
      </c>
      <c r="J32" s="147">
        <f t="shared" si="13"/>
        <v>1.8537590113285273E-2</v>
      </c>
      <c r="K32" s="147">
        <f t="shared" si="14"/>
        <v>3.604531410916581E-2</v>
      </c>
      <c r="L32" s="147">
        <f t="shared" si="15"/>
        <v>7.8269824922760037E-2</v>
      </c>
      <c r="M32" s="147">
        <f t="shared" si="16"/>
        <v>4.8403707518022657E-2</v>
      </c>
      <c r="N32" s="147">
        <f t="shared" si="17"/>
        <v>2.7806385169927908E-2</v>
      </c>
      <c r="O32" s="147">
        <f t="shared" si="18"/>
        <v>2.7806385169927908E-2</v>
      </c>
      <c r="P32" s="147">
        <f t="shared" si="19"/>
        <v>1.9567456230690009E-2</v>
      </c>
      <c r="Q32" s="147">
        <f t="shared" si="20"/>
        <v>-2.7806385169927908E-2</v>
      </c>
      <c r="R32" s="147">
        <f t="shared" si="21"/>
        <v>-6.2821833161688975E-2</v>
      </c>
      <c r="S32" s="147">
        <f t="shared" si="22"/>
        <v>-0.12461380020597322</v>
      </c>
      <c r="T32" s="147">
        <f t="shared" si="23"/>
        <v>-0.18846549948506694</v>
      </c>
      <c r="U32" s="147">
        <f t="shared" si="24"/>
        <v>-0.28424304840370751</v>
      </c>
      <c r="V32" s="147">
        <f t="shared" si="25"/>
        <v>-0.39546858908341914</v>
      </c>
      <c r="W32" s="147">
        <f t="shared" si="26"/>
        <v>-0.43254376930998972</v>
      </c>
      <c r="Y32" s="215" t="s">
        <v>197</v>
      </c>
      <c r="Z32" s="216">
        <v>5.73</v>
      </c>
    </row>
    <row r="33" spans="1:26" x14ac:dyDescent="0.25">
      <c r="A33" s="143" t="s">
        <v>198</v>
      </c>
      <c r="B33" s="147">
        <f t="shared" si="5"/>
        <v>0</v>
      </c>
      <c r="C33" s="147">
        <f t="shared" si="6"/>
        <v>1.7391304347826087E-2</v>
      </c>
      <c r="D33" s="147">
        <f t="shared" si="7"/>
        <v>1.7391304347826087E-2</v>
      </c>
      <c r="E33" s="147">
        <f t="shared" si="8"/>
        <v>3.4782608695652174E-2</v>
      </c>
      <c r="F33" s="147">
        <f t="shared" si="9"/>
        <v>2.6086956521739129E-2</v>
      </c>
      <c r="G33" s="147">
        <f t="shared" si="10"/>
        <v>3.4782608695652174E-2</v>
      </c>
      <c r="H33" s="147">
        <f t="shared" si="11"/>
        <v>5.2173913043478258E-2</v>
      </c>
      <c r="I33" s="147">
        <f t="shared" si="12"/>
        <v>6.9565217391304349E-2</v>
      </c>
      <c r="J33" s="147">
        <f t="shared" si="13"/>
        <v>0.15652173913043479</v>
      </c>
      <c r="K33" s="147">
        <f t="shared" si="14"/>
        <v>0.16521739130434782</v>
      </c>
      <c r="L33" s="147">
        <f t="shared" si="15"/>
        <v>0.32173913043478258</v>
      </c>
      <c r="M33" s="147">
        <f t="shared" si="16"/>
        <v>0.34782608695652173</v>
      </c>
      <c r="N33" s="147">
        <f t="shared" si="17"/>
        <v>0.39130434782608697</v>
      </c>
      <c r="O33" s="147">
        <f t="shared" si="18"/>
        <v>0.37391304347826088</v>
      </c>
      <c r="P33" s="147">
        <f t="shared" si="19"/>
        <v>0.45217391304347826</v>
      </c>
      <c r="Q33" s="147">
        <f t="shared" si="20"/>
        <v>0.5043478260869565</v>
      </c>
      <c r="R33" s="147">
        <f t="shared" si="21"/>
        <v>0.63478260869565217</v>
      </c>
      <c r="S33" s="147">
        <f t="shared" si="22"/>
        <v>0.70434782608695656</v>
      </c>
      <c r="T33" s="147">
        <f t="shared" si="23"/>
        <v>0.21739130434782608</v>
      </c>
      <c r="U33" s="147">
        <f t="shared" si="24"/>
        <v>-0.1391304347826087</v>
      </c>
      <c r="V33" s="147">
        <f t="shared" si="25"/>
        <v>-0.34782608695652173</v>
      </c>
      <c r="W33" s="147">
        <f t="shared" si="26"/>
        <v>-0.5130434782608696</v>
      </c>
      <c r="Y33" s="215" t="s">
        <v>199</v>
      </c>
      <c r="Z33" s="216">
        <v>6.16</v>
      </c>
    </row>
    <row r="34" spans="1:26" x14ac:dyDescent="0.25">
      <c r="A34" s="143" t="s">
        <v>199</v>
      </c>
      <c r="B34" s="147">
        <f t="shared" si="5"/>
        <v>0</v>
      </c>
      <c r="C34" s="147">
        <f t="shared" si="6"/>
        <v>-6.8474390577923858E-3</v>
      </c>
      <c r="D34" s="147">
        <f t="shared" si="7"/>
        <v>-1.6707751301013422E-2</v>
      </c>
      <c r="E34" s="147">
        <f t="shared" si="8"/>
        <v>-2.1911804984935633E-2</v>
      </c>
      <c r="F34" s="147">
        <f t="shared" si="9"/>
        <v>-1.5338263489454943E-2</v>
      </c>
      <c r="G34" s="147">
        <f t="shared" si="10"/>
        <v>4.1084634346754316E-3</v>
      </c>
      <c r="H34" s="147">
        <f t="shared" si="11"/>
        <v>-2.6841961106546151E-2</v>
      </c>
      <c r="I34" s="147">
        <f t="shared" si="12"/>
        <v>-5.1218844152287044E-2</v>
      </c>
      <c r="J34" s="147">
        <f t="shared" si="13"/>
        <v>-9.0386195562859484E-2</v>
      </c>
      <c r="K34" s="147">
        <f t="shared" si="14"/>
        <v>-6.7378800328677074E-2</v>
      </c>
      <c r="L34" s="147">
        <f t="shared" si="15"/>
        <v>-6.6009312517118598E-2</v>
      </c>
      <c r="M34" s="147">
        <f t="shared" si="16"/>
        <v>-8.6551629690495749E-2</v>
      </c>
      <c r="N34" s="147">
        <f t="shared" si="17"/>
        <v>-9.6685839496028492E-2</v>
      </c>
      <c r="O34" s="147">
        <f t="shared" si="18"/>
        <v>-0.13831826896740618</v>
      </c>
      <c r="P34" s="147">
        <f t="shared" si="19"/>
        <v>-0.18981101068200493</v>
      </c>
      <c r="Q34" s="147">
        <f t="shared" si="20"/>
        <v>-0.23664749383730485</v>
      </c>
      <c r="R34" s="147">
        <f t="shared" si="21"/>
        <v>-0.23692139139961654</v>
      </c>
      <c r="S34" s="147">
        <f t="shared" si="22"/>
        <v>-0.21802245960010955</v>
      </c>
      <c r="T34" s="147">
        <f t="shared" si="23"/>
        <v>-0.18351136674883595</v>
      </c>
      <c r="U34" s="147">
        <f t="shared" si="24"/>
        <v>-0.18405916187345933</v>
      </c>
      <c r="V34" s="147">
        <f t="shared" si="25"/>
        <v>-0.20843604491920023</v>
      </c>
      <c r="W34" s="147">
        <f t="shared" si="26"/>
        <v>-0.27800602574637084</v>
      </c>
      <c r="Y34" s="215" t="s">
        <v>198</v>
      </c>
      <c r="Z34" s="216">
        <v>9.4300000000000015</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202</v>
      </c>
      <c r="B36" s="315"/>
      <c r="C36" s="315"/>
      <c r="D36" s="315"/>
      <c r="E36" s="315"/>
      <c r="F36" s="315"/>
      <c r="G36" s="315"/>
      <c r="H36" s="315"/>
      <c r="I36" s="315"/>
      <c r="J36" s="315"/>
      <c r="K36" s="315"/>
      <c r="L36" s="315"/>
      <c r="M36" s="315"/>
      <c r="N36" s="315"/>
      <c r="O36" s="315"/>
      <c r="P36" s="315"/>
      <c r="Q36" s="315"/>
      <c r="R36" s="315"/>
      <c r="S36" s="315"/>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194</v>
      </c>
      <c r="B38" s="168">
        <v>9.06</v>
      </c>
      <c r="C38" s="168">
        <v>9.35</v>
      </c>
      <c r="D38" s="168">
        <v>10.47</v>
      </c>
      <c r="E38" s="168">
        <v>12.27</v>
      </c>
      <c r="F38" s="168">
        <v>13.73</v>
      </c>
      <c r="G38" s="168">
        <v>14.02</v>
      </c>
      <c r="H38" s="168">
        <v>14.27</v>
      </c>
      <c r="I38" s="168">
        <v>14.23</v>
      </c>
      <c r="J38" s="168">
        <v>15.65</v>
      </c>
      <c r="K38" s="168">
        <v>14.53</v>
      </c>
      <c r="L38" s="168">
        <v>14.08</v>
      </c>
      <c r="M38" s="168">
        <v>15.23</v>
      </c>
      <c r="N38" s="168">
        <v>15.09</v>
      </c>
      <c r="O38" s="168">
        <v>16.38</v>
      </c>
      <c r="P38" s="168">
        <v>12.53</v>
      </c>
      <c r="Q38" s="168">
        <v>13.44</v>
      </c>
      <c r="R38" s="168">
        <v>14.49</v>
      </c>
      <c r="S38" s="169">
        <v>14.79</v>
      </c>
      <c r="T38" s="214">
        <f>S38-(B38*1.4985)</f>
        <v>1.2135899999999982</v>
      </c>
      <c r="U38" s="220">
        <f>T38/B38</f>
        <v>0.1339503311258276</v>
      </c>
    </row>
    <row r="39" spans="1:26" ht="15.75" thickTop="1" x14ac:dyDescent="0.25">
      <c r="A39" s="143" t="s">
        <v>195</v>
      </c>
      <c r="B39" s="150">
        <v>23.35</v>
      </c>
      <c r="C39" s="150">
        <v>22.2</v>
      </c>
      <c r="D39" s="150">
        <v>21.39</v>
      </c>
      <c r="E39" s="150">
        <v>23.45</v>
      </c>
      <c r="F39" s="150">
        <v>19.2</v>
      </c>
      <c r="G39" s="150">
        <v>20.46</v>
      </c>
      <c r="H39" s="150">
        <v>24.26</v>
      </c>
      <c r="I39" s="150">
        <v>23.65</v>
      </c>
      <c r="J39" s="150">
        <v>22.15</v>
      </c>
      <c r="K39" s="150">
        <v>21.79</v>
      </c>
      <c r="L39" s="150">
        <v>21.58</v>
      </c>
      <c r="M39" s="150">
        <v>22.25</v>
      </c>
      <c r="N39" s="150">
        <v>22.23</v>
      </c>
      <c r="O39" s="150">
        <v>24.16</v>
      </c>
      <c r="P39" s="150">
        <v>32.729999999999997</v>
      </c>
      <c r="Q39" s="150">
        <v>29.26</v>
      </c>
      <c r="R39" s="150">
        <v>28.37</v>
      </c>
      <c r="S39" s="151">
        <v>28.64</v>
      </c>
      <c r="T39" s="214">
        <f t="shared" ref="T39:T43" si="27">S39-(B39*1.4985)</f>
        <v>-6.3499750000000006</v>
      </c>
      <c r="U39" s="220">
        <f>T39/B39</f>
        <v>-0.27194753747323341</v>
      </c>
    </row>
    <row r="40" spans="1:26" x14ac:dyDescent="0.25">
      <c r="A40" s="143" t="s">
        <v>196</v>
      </c>
      <c r="B40" s="150">
        <v>15.75</v>
      </c>
      <c r="C40" s="150">
        <v>14.33</v>
      </c>
      <c r="D40" s="150">
        <v>14.46</v>
      </c>
      <c r="E40" s="150">
        <v>13.94</v>
      </c>
      <c r="F40" s="150">
        <v>15.76</v>
      </c>
      <c r="G40" s="150">
        <v>14.06</v>
      </c>
      <c r="H40" s="150">
        <v>15.39</v>
      </c>
      <c r="I40" s="150">
        <v>11.21</v>
      </c>
      <c r="J40" s="150">
        <v>11.85</v>
      </c>
      <c r="K40" s="150">
        <v>12.17</v>
      </c>
      <c r="L40" s="150">
        <v>15.07</v>
      </c>
      <c r="M40" s="150">
        <v>21.18</v>
      </c>
      <c r="N40" s="150">
        <v>12.22</v>
      </c>
      <c r="O40" s="150">
        <v>12.27</v>
      </c>
      <c r="P40" s="150">
        <v>11.18</v>
      </c>
      <c r="Q40" s="150">
        <v>13.08</v>
      </c>
      <c r="R40" s="150">
        <v>17.54</v>
      </c>
      <c r="S40" s="151">
        <v>17.27</v>
      </c>
      <c r="T40" s="214">
        <f t="shared" si="27"/>
        <v>-6.3313749999999978</v>
      </c>
      <c r="U40" s="220">
        <f t="shared" ref="U40:U43" si="28">T40/B40</f>
        <v>-0.40199206349206335</v>
      </c>
    </row>
    <row r="41" spans="1:26" x14ac:dyDescent="0.25">
      <c r="A41" s="143" t="s">
        <v>197</v>
      </c>
      <c r="B41" s="150">
        <v>10.01</v>
      </c>
      <c r="C41" s="150">
        <v>10.4</v>
      </c>
      <c r="D41" s="150">
        <v>10.8</v>
      </c>
      <c r="E41" s="150">
        <v>10.89</v>
      </c>
      <c r="F41" s="150">
        <v>11.04</v>
      </c>
      <c r="G41" s="150">
        <v>10.54</v>
      </c>
      <c r="H41" s="150">
        <v>10.8</v>
      </c>
      <c r="I41" s="150">
        <v>11.26</v>
      </c>
      <c r="J41" s="150">
        <v>11.74</v>
      </c>
      <c r="K41" s="150">
        <v>11.32</v>
      </c>
      <c r="L41" s="150">
        <v>11.06</v>
      </c>
      <c r="M41" s="150">
        <v>11.05</v>
      </c>
      <c r="N41" s="150">
        <v>11.87</v>
      </c>
      <c r="O41" s="150">
        <v>12.38</v>
      </c>
      <c r="P41" s="150">
        <v>13.4</v>
      </c>
      <c r="Q41" s="150">
        <v>13.12</v>
      </c>
      <c r="R41" s="150">
        <v>15.44</v>
      </c>
      <c r="S41" s="151">
        <v>15.74</v>
      </c>
      <c r="T41" s="214">
        <f t="shared" si="27"/>
        <v>0.74001500000000142</v>
      </c>
      <c r="U41" s="220">
        <f t="shared" si="28"/>
        <v>7.3927572427572572E-2</v>
      </c>
    </row>
    <row r="42" spans="1:26" x14ac:dyDescent="0.25">
      <c r="A42" s="143" t="s">
        <v>198</v>
      </c>
      <c r="B42" s="150">
        <v>12.12</v>
      </c>
      <c r="C42" s="150">
        <v>20.079999999999998</v>
      </c>
      <c r="D42" s="150">
        <v>18.14</v>
      </c>
      <c r="E42" s="150">
        <v>20.46</v>
      </c>
      <c r="F42" s="150">
        <v>21.7</v>
      </c>
      <c r="G42" s="150">
        <v>19.760000000000002</v>
      </c>
      <c r="H42" s="150">
        <v>18.3</v>
      </c>
      <c r="I42" s="150">
        <v>18.79</v>
      </c>
      <c r="J42" s="150">
        <v>18.920000000000002</v>
      </c>
      <c r="K42" s="150">
        <v>18.11</v>
      </c>
      <c r="L42" s="150">
        <v>15.65</v>
      </c>
      <c r="M42" s="150">
        <v>13.34</v>
      </c>
      <c r="N42" s="150">
        <v>13.91</v>
      </c>
      <c r="O42" s="150">
        <v>13.88</v>
      </c>
      <c r="P42" s="150">
        <v>14.89</v>
      </c>
      <c r="Q42" s="150">
        <v>15.69</v>
      </c>
      <c r="R42" s="150">
        <v>20.74</v>
      </c>
      <c r="S42" s="151">
        <v>21.55</v>
      </c>
      <c r="T42" s="214">
        <f t="shared" si="27"/>
        <v>3.388180000000002</v>
      </c>
      <c r="U42" s="220">
        <f t="shared" si="28"/>
        <v>0.27955280528052823</v>
      </c>
    </row>
    <row r="43" spans="1:26" x14ac:dyDescent="0.25">
      <c r="A43" s="143" t="s">
        <v>199</v>
      </c>
      <c r="B43" s="150">
        <v>11.39</v>
      </c>
      <c r="C43" s="150">
        <v>10.92</v>
      </c>
      <c r="D43" s="150">
        <v>11.16</v>
      </c>
      <c r="E43" s="150">
        <v>11.67</v>
      </c>
      <c r="F43" s="150">
        <v>11.85</v>
      </c>
      <c r="G43" s="150">
        <v>11.84</v>
      </c>
      <c r="H43" s="150">
        <v>12.01</v>
      </c>
      <c r="I43" s="150">
        <v>11.72</v>
      </c>
      <c r="J43" s="150">
        <v>12.53</v>
      </c>
      <c r="K43" s="150">
        <v>12.71</v>
      </c>
      <c r="L43" s="150">
        <v>13.23</v>
      </c>
      <c r="M43" s="150">
        <v>13.55</v>
      </c>
      <c r="N43" s="150">
        <v>14.34</v>
      </c>
      <c r="O43" s="150">
        <v>15.03</v>
      </c>
      <c r="P43" s="150">
        <v>15.72</v>
      </c>
      <c r="Q43" s="150">
        <v>15.95</v>
      </c>
      <c r="R43" s="150">
        <v>17.350000000000001</v>
      </c>
      <c r="S43" s="151">
        <v>17.55</v>
      </c>
      <c r="T43" s="214">
        <f t="shared" si="27"/>
        <v>0.48208500000000143</v>
      </c>
      <c r="U43" s="220">
        <f t="shared" si="28"/>
        <v>4.2325285338015925E-2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203</v>
      </c>
      <c r="B46" s="315"/>
      <c r="C46" s="315"/>
      <c r="D46" s="315"/>
      <c r="E46" s="315"/>
      <c r="F46" s="315"/>
      <c r="G46" s="315"/>
      <c r="H46" s="315"/>
      <c r="I46" s="315"/>
      <c r="J46" s="315"/>
      <c r="K46" s="315"/>
      <c r="L46" s="315"/>
      <c r="M46" s="315"/>
      <c r="N46" s="315"/>
      <c r="O46" s="315"/>
      <c r="P46" s="315"/>
      <c r="Q46" s="315"/>
      <c r="R46" s="315"/>
      <c r="S46" s="315"/>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194</v>
      </c>
      <c r="B48" s="167">
        <f t="shared" ref="B48:B53" si="29">(B38-B38)/B38</f>
        <v>0</v>
      </c>
      <c r="C48" s="167">
        <f t="shared" ref="C48:C53" si="30">(C38-B38)/B38</f>
        <v>3.2008830022074962E-2</v>
      </c>
      <c r="D48" s="167">
        <f t="shared" ref="D48:D53" si="31">(D38-B38)/B38</f>
        <v>0.1556291390728477</v>
      </c>
      <c r="E48" s="167">
        <f t="shared" ref="E48:E53" si="32">(E38-B38)/B38</f>
        <v>0.35430463576158927</v>
      </c>
      <c r="F48" s="167">
        <f t="shared" ref="F48:F53" si="33">(F38-B38)/B38</f>
        <v>0.51545253863134655</v>
      </c>
      <c r="G48" s="167">
        <f t="shared" ref="G48:G53" si="34">(G38-B38)/B38</f>
        <v>0.54746136865342154</v>
      </c>
      <c r="H48" s="167">
        <f t="shared" ref="H48:H53" si="35">(H38-B38)/B38</f>
        <v>0.57505518763796892</v>
      </c>
      <c r="I48" s="167">
        <f t="shared" ref="I48:I53" si="36">(I38-B38)/B38</f>
        <v>0.57064017660044142</v>
      </c>
      <c r="J48" s="167">
        <f t="shared" ref="J48:J53" si="37">(J38-B38)/B38</f>
        <v>0.72737306843267102</v>
      </c>
      <c r="K48" s="167">
        <f t="shared" ref="K48:K53" si="38">(K38-B38)/B38</f>
        <v>0.60375275938189832</v>
      </c>
      <c r="L48" s="167">
        <f t="shared" ref="L48:L53" si="39">(L38-B38)/B38</f>
        <v>0.55408388520971297</v>
      </c>
      <c r="M48" s="167">
        <f t="shared" ref="M48:M53" si="40">(M38-B38)/B38</f>
        <v>0.68101545253863127</v>
      </c>
      <c r="N48" s="167">
        <f t="shared" ref="N48:N53" si="41">(N38-B38)/B38</f>
        <v>0.66556291390728461</v>
      </c>
      <c r="O48" s="167">
        <f t="shared" ref="O48:O53" si="42">(O38-B38)/B38</f>
        <v>0.80794701986754947</v>
      </c>
      <c r="P48" s="167">
        <f t="shared" ref="P48:P53" si="43">(P38-B38)/B38</f>
        <v>0.38300220750551861</v>
      </c>
      <c r="Q48" s="167">
        <f t="shared" ref="Q48:Q53" si="44">(Q38-B38)/B38</f>
        <v>0.48344370860927138</v>
      </c>
      <c r="R48" s="167">
        <f t="shared" ref="R48:R53" si="45">(R38-B38)/B38</f>
        <v>0.59933774834437081</v>
      </c>
      <c r="S48" s="167">
        <f t="shared" ref="S48:S53" si="46">(S38-B38)/B38</f>
        <v>0.6324503311258276</v>
      </c>
    </row>
    <row r="49" spans="1:19" ht="15.75" thickTop="1" x14ac:dyDescent="0.25">
      <c r="A49" s="143" t="s">
        <v>195</v>
      </c>
      <c r="B49" s="147">
        <f t="shared" si="29"/>
        <v>0</v>
      </c>
      <c r="C49" s="147">
        <f t="shared" si="30"/>
        <v>-4.9250535331905869E-2</v>
      </c>
      <c r="D49" s="147">
        <f t="shared" si="31"/>
        <v>-8.3940042826552499E-2</v>
      </c>
      <c r="E49" s="147">
        <f t="shared" si="32"/>
        <v>4.282655246252585E-3</v>
      </c>
      <c r="F49" s="147">
        <f t="shared" si="33"/>
        <v>-0.17773019271948617</v>
      </c>
      <c r="G49" s="147">
        <f t="shared" si="34"/>
        <v>-0.12376873661670237</v>
      </c>
      <c r="H49" s="147">
        <f t="shared" si="35"/>
        <v>3.897216274089936E-2</v>
      </c>
      <c r="I49" s="147">
        <f t="shared" si="36"/>
        <v>1.2847965738757907E-2</v>
      </c>
      <c r="J49" s="147">
        <f t="shared" si="37"/>
        <v>-5.1391862955032237E-2</v>
      </c>
      <c r="K49" s="147">
        <f t="shared" si="38"/>
        <v>-6.6809421841541844E-2</v>
      </c>
      <c r="L49" s="147">
        <f t="shared" si="39"/>
        <v>-7.5802997858672505E-2</v>
      </c>
      <c r="M49" s="147">
        <f t="shared" si="40"/>
        <v>-4.7109207708779501E-2</v>
      </c>
      <c r="N49" s="147">
        <f t="shared" si="41"/>
        <v>-4.7965738758030022E-2</v>
      </c>
      <c r="O49" s="147">
        <f t="shared" si="42"/>
        <v>3.4689507494646624E-2</v>
      </c>
      <c r="P49" s="147">
        <f t="shared" si="43"/>
        <v>0.40171306209850083</v>
      </c>
      <c r="Q49" s="147">
        <f t="shared" si="44"/>
        <v>0.25310492505353316</v>
      </c>
      <c r="R49" s="147">
        <f t="shared" si="45"/>
        <v>0.21498929336188433</v>
      </c>
      <c r="S49" s="147">
        <f t="shared" si="46"/>
        <v>0.22655246252676656</v>
      </c>
    </row>
    <row r="50" spans="1:19" x14ac:dyDescent="0.25">
      <c r="A50" s="143" t="s">
        <v>196</v>
      </c>
      <c r="B50" s="147">
        <f t="shared" si="29"/>
        <v>0</v>
      </c>
      <c r="C50" s="147">
        <f t="shared" si="30"/>
        <v>-9.015873015873016E-2</v>
      </c>
      <c r="D50" s="147">
        <f t="shared" si="31"/>
        <v>-8.1904761904761855E-2</v>
      </c>
      <c r="E50" s="147">
        <f t="shared" si="32"/>
        <v>-0.11492063492063495</v>
      </c>
      <c r="F50" s="147">
        <f t="shared" si="33"/>
        <v>6.3492063492062137E-4</v>
      </c>
      <c r="G50" s="147">
        <f t="shared" si="34"/>
        <v>-0.10730158730158727</v>
      </c>
      <c r="H50" s="147">
        <f t="shared" si="35"/>
        <v>-2.2857142857142822E-2</v>
      </c>
      <c r="I50" s="147">
        <f t="shared" si="36"/>
        <v>-0.28825396825396821</v>
      </c>
      <c r="J50" s="147">
        <f t="shared" si="37"/>
        <v>-0.24761904761904766</v>
      </c>
      <c r="K50" s="147">
        <f t="shared" si="38"/>
        <v>-0.22730158730158731</v>
      </c>
      <c r="L50" s="147">
        <f t="shared" si="39"/>
        <v>-4.3174603174603157E-2</v>
      </c>
      <c r="M50" s="147">
        <f t="shared" si="40"/>
        <v>0.34476190476190477</v>
      </c>
      <c r="N50" s="147">
        <f t="shared" si="41"/>
        <v>-0.22412698412698409</v>
      </c>
      <c r="O50" s="147">
        <f t="shared" si="42"/>
        <v>-0.22095238095238098</v>
      </c>
      <c r="P50" s="147">
        <f t="shared" si="43"/>
        <v>-0.29015873015873017</v>
      </c>
      <c r="Q50" s="147">
        <f t="shared" si="44"/>
        <v>-0.16952380952380952</v>
      </c>
      <c r="R50" s="147">
        <f t="shared" si="45"/>
        <v>0.1136507936507936</v>
      </c>
      <c r="S50" s="147">
        <f t="shared" si="46"/>
        <v>9.6507936507936487E-2</v>
      </c>
    </row>
    <row r="51" spans="1:19" x14ac:dyDescent="0.25">
      <c r="A51" s="143" t="s">
        <v>197</v>
      </c>
      <c r="B51" s="147">
        <f t="shared" si="29"/>
        <v>0</v>
      </c>
      <c r="C51" s="147">
        <f t="shared" si="30"/>
        <v>3.8961038961039016E-2</v>
      </c>
      <c r="D51" s="147">
        <f t="shared" si="31"/>
        <v>7.892107892107901E-2</v>
      </c>
      <c r="E51" s="147">
        <f t="shared" si="32"/>
        <v>8.7912087912087988E-2</v>
      </c>
      <c r="F51" s="147">
        <f t="shared" si="33"/>
        <v>0.10289710289710284</v>
      </c>
      <c r="G51" s="147">
        <f t="shared" si="34"/>
        <v>5.2947052947052882E-2</v>
      </c>
      <c r="H51" s="147">
        <f t="shared" si="35"/>
        <v>7.892107892107901E-2</v>
      </c>
      <c r="I51" s="147">
        <f t="shared" si="36"/>
        <v>0.12487512487512488</v>
      </c>
      <c r="J51" s="147">
        <f t="shared" si="37"/>
        <v>0.17282717282717289</v>
      </c>
      <c r="K51" s="147">
        <f t="shared" si="38"/>
        <v>0.13086913086913093</v>
      </c>
      <c r="L51" s="147">
        <f t="shared" si="39"/>
        <v>0.10489510489510497</v>
      </c>
      <c r="M51" s="147">
        <f t="shared" si="40"/>
        <v>0.10389610389610399</v>
      </c>
      <c r="N51" s="147">
        <f t="shared" si="41"/>
        <v>0.18581418581418577</v>
      </c>
      <c r="O51" s="147">
        <f t="shared" si="42"/>
        <v>0.23676323676323688</v>
      </c>
      <c r="P51" s="147">
        <f t="shared" si="43"/>
        <v>0.33866133866133874</v>
      </c>
      <c r="Q51" s="147">
        <f t="shared" si="44"/>
        <v>0.31068931068931066</v>
      </c>
      <c r="R51" s="147">
        <f t="shared" si="45"/>
        <v>0.54245754245754241</v>
      </c>
      <c r="S51" s="147">
        <f t="shared" si="46"/>
        <v>0.57242757242757247</v>
      </c>
    </row>
    <row r="52" spans="1:19" x14ac:dyDescent="0.25">
      <c r="A52" s="143" t="s">
        <v>198</v>
      </c>
      <c r="B52" s="147">
        <f t="shared" si="29"/>
        <v>0</v>
      </c>
      <c r="C52" s="147">
        <f t="shared" si="30"/>
        <v>0.65676567656765672</v>
      </c>
      <c r="D52" s="147">
        <f t="shared" si="31"/>
        <v>0.49669966996699683</v>
      </c>
      <c r="E52" s="147">
        <f t="shared" si="32"/>
        <v>0.68811881188118829</v>
      </c>
      <c r="F52" s="147">
        <f t="shared" si="33"/>
        <v>0.7904290429042905</v>
      </c>
      <c r="G52" s="147">
        <f t="shared" si="34"/>
        <v>0.63036303630363055</v>
      </c>
      <c r="H52" s="147">
        <f t="shared" si="35"/>
        <v>0.50990099009901002</v>
      </c>
      <c r="I52" s="147">
        <f t="shared" si="36"/>
        <v>0.55033003300330041</v>
      </c>
      <c r="J52" s="147">
        <f t="shared" si="37"/>
        <v>0.5610561056105613</v>
      </c>
      <c r="K52" s="147">
        <f t="shared" si="38"/>
        <v>0.49422442244224429</v>
      </c>
      <c r="L52" s="147">
        <f t="shared" si="39"/>
        <v>0.29125412541254136</v>
      </c>
      <c r="M52" s="147">
        <f t="shared" si="40"/>
        <v>0.10066006600660071</v>
      </c>
      <c r="N52" s="147">
        <f t="shared" si="41"/>
        <v>0.14768976897689778</v>
      </c>
      <c r="O52" s="147">
        <f t="shared" si="42"/>
        <v>0.14521452145214536</v>
      </c>
      <c r="P52" s="147">
        <f t="shared" si="43"/>
        <v>0.22854785478547868</v>
      </c>
      <c r="Q52" s="147">
        <f t="shared" si="44"/>
        <v>0.29455445544554459</v>
      </c>
      <c r="R52" s="147">
        <f t="shared" si="45"/>
        <v>0.71122112211221122</v>
      </c>
      <c r="S52" s="147">
        <f t="shared" si="46"/>
        <v>0.77805280528052823</v>
      </c>
    </row>
    <row r="53" spans="1:19" x14ac:dyDescent="0.25">
      <c r="A53" s="143" t="s">
        <v>199</v>
      </c>
      <c r="B53" s="147">
        <f t="shared" si="29"/>
        <v>0</v>
      </c>
      <c r="C53" s="147">
        <f t="shared" si="30"/>
        <v>-4.1264266900790221E-2</v>
      </c>
      <c r="D53" s="147">
        <f t="shared" si="31"/>
        <v>-2.0193151887620758E-2</v>
      </c>
      <c r="E53" s="147">
        <f t="shared" si="32"/>
        <v>2.4582967515364297E-2</v>
      </c>
      <c r="F53" s="147">
        <f t="shared" si="33"/>
        <v>4.0386303775241356E-2</v>
      </c>
      <c r="G53" s="147">
        <f t="shared" si="34"/>
        <v>3.950834064969265E-2</v>
      </c>
      <c r="H53" s="147">
        <f t="shared" si="35"/>
        <v>5.4433713784021003E-2</v>
      </c>
      <c r="I53" s="147">
        <f t="shared" si="36"/>
        <v>2.8972783143107993E-2</v>
      </c>
      <c r="J53" s="147">
        <f t="shared" si="37"/>
        <v>0.10008779631255477</v>
      </c>
      <c r="K53" s="147">
        <f t="shared" si="38"/>
        <v>0.11589113257243197</v>
      </c>
      <c r="L53" s="147">
        <f t="shared" si="39"/>
        <v>0.16154521510096573</v>
      </c>
      <c r="M53" s="147">
        <f t="shared" si="40"/>
        <v>0.18964003511852504</v>
      </c>
      <c r="N53" s="147">
        <f t="shared" si="41"/>
        <v>0.25899912203687436</v>
      </c>
      <c r="O53" s="147">
        <f t="shared" si="42"/>
        <v>0.31957857769973647</v>
      </c>
      <c r="P53" s="147">
        <f t="shared" si="43"/>
        <v>0.38015803336259874</v>
      </c>
      <c r="Q53" s="147">
        <f t="shared" si="44"/>
        <v>0.40035118525021934</v>
      </c>
      <c r="R53" s="147">
        <f t="shared" si="45"/>
        <v>0.52326602282704127</v>
      </c>
      <c r="S53" s="147">
        <f t="shared" si="46"/>
        <v>0.54082528533801577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topLeftCell="J1" zoomScaleNormal="100" workbookViewId="0">
      <selection activeCell="W30" sqref="W30"/>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9" t="s">
        <v>221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3" spans="1:28" ht="15.75" x14ac:dyDescent="0.25">
      <c r="A3" s="315" t="s">
        <v>222</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223</v>
      </c>
      <c r="B5" s="144">
        <f>'2C'!B19</f>
        <v>214</v>
      </c>
      <c r="C5" s="144">
        <f>'2C'!C19</f>
        <v>216</v>
      </c>
      <c r="D5" s="144">
        <f>'2C'!D19</f>
        <v>221</v>
      </c>
      <c r="E5" s="144">
        <f>'2C'!E19</f>
        <v>223</v>
      </c>
      <c r="F5" s="144">
        <f>'2C'!F19</f>
        <v>221</v>
      </c>
      <c r="G5" s="144">
        <f>'2C'!G19</f>
        <v>248</v>
      </c>
      <c r="H5" s="144">
        <f>'2C'!H19</f>
        <v>251</v>
      </c>
      <c r="I5" s="144">
        <f>'2C'!I19</f>
        <v>265</v>
      </c>
      <c r="J5" s="144">
        <f>'2C'!J19</f>
        <v>270</v>
      </c>
      <c r="K5" s="144">
        <f>'2C'!K19</f>
        <v>257</v>
      </c>
      <c r="L5" s="144">
        <f>'2C'!L19</f>
        <v>231</v>
      </c>
      <c r="M5" s="144">
        <f>'2C'!M19</f>
        <v>235</v>
      </c>
      <c r="N5" s="144">
        <f>'2C'!N19</f>
        <v>246</v>
      </c>
      <c r="O5" s="144">
        <f>'2C'!O19</f>
        <v>242</v>
      </c>
      <c r="P5" s="144">
        <f>'2C'!P19</f>
        <v>238</v>
      </c>
      <c r="Q5" s="144">
        <f>'2C'!Q19</f>
        <v>239</v>
      </c>
      <c r="R5" s="144">
        <f>'2C'!R19</f>
        <v>257</v>
      </c>
      <c r="S5" s="144">
        <f>'2C'!S19</f>
        <v>265</v>
      </c>
      <c r="T5" s="144">
        <f>'2C'!T19</f>
        <v>265</v>
      </c>
      <c r="U5" s="144">
        <f>'2C'!U19</f>
        <v>232</v>
      </c>
      <c r="V5" s="144">
        <f>'2C'!V19</f>
        <v>243</v>
      </c>
      <c r="W5" s="144">
        <f>'2C'!W19</f>
        <v>225</v>
      </c>
      <c r="X5" s="145"/>
    </row>
    <row r="6" spans="1:28" x14ac:dyDescent="0.2">
      <c r="A6" s="143" t="s">
        <v>224</v>
      </c>
      <c r="B6" s="144">
        <v>10223.878244699999</v>
      </c>
      <c r="C6" s="144">
        <v>10406.3483512</v>
      </c>
      <c r="D6" s="144">
        <v>10426.300502</v>
      </c>
      <c r="E6" s="144">
        <v>10325.835215200001</v>
      </c>
      <c r="F6" s="144">
        <v>10337.8251642</v>
      </c>
      <c r="G6" s="144">
        <v>10431.0832467</v>
      </c>
      <c r="H6" s="144">
        <v>10415.613489199999</v>
      </c>
      <c r="I6" s="144">
        <v>10318.4262389</v>
      </c>
      <c r="J6" s="144">
        <v>10080.554326699999</v>
      </c>
      <c r="K6" s="144">
        <v>9843.7264589000006</v>
      </c>
      <c r="L6" s="144">
        <v>9401.7835870899999</v>
      </c>
      <c r="M6" s="144">
        <v>9154.3144978100008</v>
      </c>
      <c r="N6" s="144">
        <v>9293.6152576799996</v>
      </c>
      <c r="O6" s="144">
        <v>9242.5260605599997</v>
      </c>
      <c r="P6" s="144">
        <v>9752.3197509099991</v>
      </c>
      <c r="Q6" s="144">
        <v>10444.903679700001</v>
      </c>
      <c r="R6" s="144">
        <v>11289.819695599999</v>
      </c>
      <c r="S6" s="144">
        <v>11564.178667800001</v>
      </c>
      <c r="T6" s="144">
        <v>11861.5368174</v>
      </c>
      <c r="U6" s="144">
        <v>9920.1906641900005</v>
      </c>
      <c r="V6" s="144">
        <v>10222.8116157</v>
      </c>
      <c r="W6" s="144">
        <v>10464.968896099999</v>
      </c>
      <c r="X6" s="145"/>
    </row>
    <row r="7" spans="1:28" x14ac:dyDescent="0.2">
      <c r="A7" s="143" t="s">
        <v>225</v>
      </c>
      <c r="B7" s="144">
        <v>417376</v>
      </c>
      <c r="C7" s="144">
        <v>431280</v>
      </c>
      <c r="D7" s="144">
        <v>437127</v>
      </c>
      <c r="E7" s="144">
        <v>438787</v>
      </c>
      <c r="F7" s="144">
        <v>443404</v>
      </c>
      <c r="G7" s="144">
        <v>460455</v>
      </c>
      <c r="H7" s="144">
        <v>481816</v>
      </c>
      <c r="I7" s="144">
        <v>490798</v>
      </c>
      <c r="J7" s="144">
        <v>481072</v>
      </c>
      <c r="K7" s="144">
        <v>462439</v>
      </c>
      <c r="L7" s="144">
        <v>432777</v>
      </c>
      <c r="M7" s="144">
        <v>461993</v>
      </c>
      <c r="N7" s="144">
        <v>437273</v>
      </c>
      <c r="O7" s="144">
        <v>439688</v>
      </c>
      <c r="P7" s="144">
        <v>455541</v>
      </c>
      <c r="Q7" s="144">
        <v>471603</v>
      </c>
      <c r="R7" s="144">
        <v>495590</v>
      </c>
      <c r="S7" s="144">
        <v>508667</v>
      </c>
      <c r="T7" s="144">
        <v>525179</v>
      </c>
      <c r="U7" s="144">
        <v>459262</v>
      </c>
      <c r="V7" s="144">
        <v>484541</v>
      </c>
      <c r="W7" s="144">
        <v>506315</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226</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223</v>
      </c>
      <c r="B12" s="170">
        <f>(B5-B5)/B5</f>
        <v>0</v>
      </c>
      <c r="C12" s="170">
        <f>(C5-B5)/B5</f>
        <v>9.3457943925233638E-3</v>
      </c>
      <c r="D12" s="170">
        <f>(D5-B5)/B5</f>
        <v>3.2710280373831772E-2</v>
      </c>
      <c r="E12" s="170">
        <f>(E5-B5)/B5</f>
        <v>4.2056074766355138E-2</v>
      </c>
      <c r="F12" s="170">
        <f>(F5-B5)/B5</f>
        <v>3.2710280373831772E-2</v>
      </c>
      <c r="G12" s="170">
        <f>(G5-B5)/B5</f>
        <v>0.15887850467289719</v>
      </c>
      <c r="H12" s="170">
        <f>(H5-B5)/B5</f>
        <v>0.17289719626168223</v>
      </c>
      <c r="I12" s="170">
        <f>(I5-B5)/B5</f>
        <v>0.23831775700934579</v>
      </c>
      <c r="J12" s="170">
        <f>(J5-B5)/B5</f>
        <v>0.26168224299065418</v>
      </c>
      <c r="K12" s="170">
        <f>(K5-B5)/B5</f>
        <v>0.20093457943925233</v>
      </c>
      <c r="L12" s="170">
        <f>(L5-B5)/B5</f>
        <v>7.9439252336448593E-2</v>
      </c>
      <c r="M12" s="170">
        <f>(M5-B5)/B5</f>
        <v>9.8130841121495324E-2</v>
      </c>
      <c r="N12" s="170">
        <f>(N5-B5)/B5</f>
        <v>0.14953271028037382</v>
      </c>
      <c r="O12" s="170">
        <f>(O5-B5)/B5</f>
        <v>0.13084112149532709</v>
      </c>
      <c r="P12" s="170">
        <f>(P5-B5)/B5</f>
        <v>0.11214953271028037</v>
      </c>
      <c r="Q12" s="170">
        <f>(Q5-B5)/B5</f>
        <v>0.11682242990654206</v>
      </c>
      <c r="R12" s="170">
        <f>(R5-B5)/B5</f>
        <v>0.20093457943925233</v>
      </c>
      <c r="S12" s="170">
        <f>(S5-B5)/B5</f>
        <v>0.23831775700934579</v>
      </c>
      <c r="T12" s="170">
        <f>(T5-B5)/B5</f>
        <v>0.23831775700934579</v>
      </c>
      <c r="U12" s="170">
        <f>(U5-B5)/B5</f>
        <v>8.4112149532710276E-2</v>
      </c>
      <c r="V12" s="170">
        <f>(V5-B5)/B5</f>
        <v>0.13551401869158877</v>
      </c>
      <c r="W12" s="170">
        <f>(W5-B5)/B5</f>
        <v>5.1401869158878503E-2</v>
      </c>
    </row>
    <row r="13" spans="1:28" x14ac:dyDescent="0.2">
      <c r="A13" s="143" t="s">
        <v>224</v>
      </c>
      <c r="B13" s="170">
        <f>(B6-B6)/B6</f>
        <v>0</v>
      </c>
      <c r="C13" s="170">
        <f>(C6-B6)/B6</f>
        <v>1.7847445180070715E-2</v>
      </c>
      <c r="D13" s="170">
        <f>(D6-B6)/B6</f>
        <v>1.9798969867910465E-2</v>
      </c>
      <c r="E13" s="170">
        <f>(E6-B6)/B6</f>
        <v>9.9724359054114489E-3</v>
      </c>
      <c r="F13" s="170">
        <f>(F6-B6)/B6</f>
        <v>1.1145175712462107E-2</v>
      </c>
      <c r="G13" s="170">
        <f>(G6-B6)/B6</f>
        <v>2.0266771281965777E-2</v>
      </c>
      <c r="H13" s="170">
        <f>(H6-B6)/B6</f>
        <v>1.8753670565217671E-2</v>
      </c>
      <c r="I13" s="170">
        <f>(I6-B6)/B6</f>
        <v>9.2477621443715179E-3</v>
      </c>
      <c r="J13" s="170">
        <f>(J6-B6)/B6</f>
        <v>-1.4018547029773008E-2</v>
      </c>
      <c r="K13" s="170">
        <f>(K6-B6)/B6</f>
        <v>-3.7182737969035123E-2</v>
      </c>
      <c r="L13" s="170">
        <f>(L6-B6)/B6</f>
        <v>-8.0409276982163672E-2</v>
      </c>
      <c r="M13" s="170">
        <f>(M6-B6)/B6</f>
        <v>-0.10461428836405151</v>
      </c>
      <c r="N13" s="170">
        <f>(N6-B6)/B6</f>
        <v>-9.0989247402495518E-2</v>
      </c>
      <c r="O13" s="170">
        <f>(O6-B6)/B6</f>
        <v>-9.5986294109940834E-2</v>
      </c>
      <c r="P13" s="170">
        <f>(P6-B6)/B6</f>
        <v>-4.6123250150641566E-2</v>
      </c>
      <c r="Q13" s="170">
        <f>(Q6-B6)/B6</f>
        <v>2.1618551171086148E-2</v>
      </c>
      <c r="R13" s="170">
        <f>(R6-B6)/B6</f>
        <v>0.10425999071854927</v>
      </c>
      <c r="S13" s="170">
        <f>(S6-B6)/B6</f>
        <v>0.13109510804227403</v>
      </c>
      <c r="T13" s="170">
        <f>(T6-B6)/B6</f>
        <v>0.16017978046138734</v>
      </c>
      <c r="U13" s="170">
        <f>(U6-B6)/B6</f>
        <v>-2.9703755584866133E-2</v>
      </c>
      <c r="V13" s="170">
        <f>(V6-B6)/B6</f>
        <v>-1.0432724006195455E-4</v>
      </c>
      <c r="W13" s="170">
        <f>(W6-B6)/B6</f>
        <v>2.3581134832565114E-2</v>
      </c>
    </row>
    <row r="14" spans="1:28" x14ac:dyDescent="0.2">
      <c r="A14" s="143" t="s">
        <v>225</v>
      </c>
      <c r="B14" s="170">
        <f>(B7-B7)/B7</f>
        <v>0</v>
      </c>
      <c r="C14" s="170">
        <f>(C7-B7)/B7</f>
        <v>3.3312888139231771E-2</v>
      </c>
      <c r="D14" s="170">
        <f>(D7-B7)/B7</f>
        <v>4.7321839300774361E-2</v>
      </c>
      <c r="E14" s="170">
        <f>(E7-B7)/B7</f>
        <v>5.1299068465843749E-2</v>
      </c>
      <c r="F14" s="170">
        <f>(F7-B7)/B7</f>
        <v>6.2361036571340948E-2</v>
      </c>
      <c r="G14" s="170">
        <f>(G7-B7)/B7</f>
        <v>0.10321388867591812</v>
      </c>
      <c r="H14" s="170">
        <f>(H7-B7)/B7</f>
        <v>0.15439316108257303</v>
      </c>
      <c r="I14" s="170">
        <f>(I7-B7)/B7</f>
        <v>0.17591332515525571</v>
      </c>
      <c r="J14" s="170">
        <f>(J7-B7)/B7</f>
        <v>0.15261059572184313</v>
      </c>
      <c r="K14" s="170">
        <f>(K7-B7)/B7</f>
        <v>0.10796739630453117</v>
      </c>
      <c r="L14" s="170">
        <f>(L7-B7)/B7</f>
        <v>3.6899582151345547E-2</v>
      </c>
      <c r="M14" s="170">
        <f>(M7-B7)/B7</f>
        <v>0.10689881545656674</v>
      </c>
      <c r="N14" s="170">
        <f>(N7-B7)/B7</f>
        <v>4.7671643793605764E-2</v>
      </c>
      <c r="O14" s="170">
        <f>(O7-B7)/B7</f>
        <v>5.3457793452426586E-2</v>
      </c>
      <c r="P14" s="170">
        <f>(P7-B7)/B7</f>
        <v>9.1440331978839218E-2</v>
      </c>
      <c r="Q14" s="170">
        <f>(Q7-B7)/B7</f>
        <v>0.1299236180326612</v>
      </c>
      <c r="R14" s="170">
        <f>(R7-B7)/B7</f>
        <v>0.18739457946791382</v>
      </c>
      <c r="S14" s="170">
        <f>(S7-B7)/B7</f>
        <v>0.21872604078816224</v>
      </c>
      <c r="T14" s="170">
        <f>(T7-B7)/B7</f>
        <v>0.25828749137468376</v>
      </c>
      <c r="U14" s="170">
        <f>(U7-B7)/B7</f>
        <v>0.10035555470367247</v>
      </c>
      <c r="V14" s="170">
        <f>(V7-B7)/B7</f>
        <v>0.16092204630836465</v>
      </c>
      <c r="W14" s="170">
        <f>(W7-B7)/B7</f>
        <v>0.21309083416391936</v>
      </c>
    </row>
    <row r="16" spans="1:28" ht="15.75" x14ac:dyDescent="0.25">
      <c r="A16" s="315" t="s">
        <v>227</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223</v>
      </c>
      <c r="B18" s="150">
        <f>'2C'!B38</f>
        <v>9.06</v>
      </c>
      <c r="C18" s="150">
        <f>'2C'!C38</f>
        <v>9.35</v>
      </c>
      <c r="D18" s="150">
        <f>'2C'!D38</f>
        <v>10.47</v>
      </c>
      <c r="E18" s="150">
        <f>'2C'!E38</f>
        <v>12.27</v>
      </c>
      <c r="F18" s="150">
        <f>'2C'!F38</f>
        <v>13.73</v>
      </c>
      <c r="G18" s="150">
        <f>'2C'!G38</f>
        <v>14.02</v>
      </c>
      <c r="H18" s="150">
        <f>'2C'!H38</f>
        <v>14.27</v>
      </c>
      <c r="I18" s="150">
        <f>'2C'!I38</f>
        <v>14.23</v>
      </c>
      <c r="J18" s="150">
        <f>'2C'!J38</f>
        <v>15.65</v>
      </c>
      <c r="K18" s="150">
        <f>'2C'!K38</f>
        <v>14.53</v>
      </c>
      <c r="L18" s="150">
        <f>'2C'!L38</f>
        <v>14.08</v>
      </c>
      <c r="M18" s="150">
        <f>'2C'!M38</f>
        <v>15.23</v>
      </c>
      <c r="N18" s="150">
        <f>'2C'!N38</f>
        <v>15.09</v>
      </c>
      <c r="O18" s="150">
        <f>'2C'!O38</f>
        <v>16.38</v>
      </c>
      <c r="P18" s="150">
        <f>'2C'!P38</f>
        <v>12.53</v>
      </c>
      <c r="Q18" s="150">
        <f>'2C'!Q38</f>
        <v>13.44</v>
      </c>
      <c r="R18" s="150">
        <f>'2C'!R38</f>
        <v>14.49</v>
      </c>
      <c r="S18" s="150">
        <f>'2C'!S38</f>
        <v>14.79</v>
      </c>
      <c r="T18"/>
      <c r="U18"/>
      <c r="V18"/>
      <c r="W18"/>
    </row>
    <row r="19" spans="1:23" ht="15" x14ac:dyDescent="0.25">
      <c r="A19" s="143" t="s">
        <v>224</v>
      </c>
      <c r="B19" s="150">
        <v>11.950703619</v>
      </c>
      <c r="C19" s="150">
        <v>12.7218602584</v>
      </c>
      <c r="D19" s="150">
        <v>13.450546281499999</v>
      </c>
      <c r="E19" s="150">
        <v>13.4149667769</v>
      </c>
      <c r="F19" s="150">
        <v>13.5452090059</v>
      </c>
      <c r="G19" s="150">
        <v>13.3002916718</v>
      </c>
      <c r="H19" s="150">
        <v>14.7625792061</v>
      </c>
      <c r="I19" s="150">
        <v>14.240575402799999</v>
      </c>
      <c r="J19" s="150">
        <v>13.6809499044</v>
      </c>
      <c r="K19" s="150">
        <v>13.1296714025</v>
      </c>
      <c r="L19" s="150">
        <v>13.243366787699999</v>
      </c>
      <c r="M19" s="150">
        <v>13.2414405317</v>
      </c>
      <c r="N19" s="150">
        <v>13.8703135468</v>
      </c>
      <c r="O19" s="150">
        <v>14.9999548341</v>
      </c>
      <c r="P19" s="150">
        <v>14.7460593342</v>
      </c>
      <c r="Q19" s="150">
        <v>14.459550802900001</v>
      </c>
      <c r="R19" s="150">
        <v>14.308846518199999</v>
      </c>
      <c r="S19" s="151">
        <v>16.033598811299999</v>
      </c>
      <c r="T19"/>
      <c r="U19"/>
      <c r="V19"/>
      <c r="W19"/>
    </row>
    <row r="20" spans="1:23" ht="15" x14ac:dyDescent="0.25">
      <c r="A20" s="143" t="s">
        <v>225</v>
      </c>
      <c r="B20" s="150">
        <v>9.1469948142750006</v>
      </c>
      <c r="C20" s="150">
        <v>9.4138598378600005</v>
      </c>
      <c r="D20" s="150">
        <v>9.6571817522999996</v>
      </c>
      <c r="E20" s="150">
        <v>9.9829763805249989</v>
      </c>
      <c r="F20" s="150">
        <v>10.236425033749999</v>
      </c>
      <c r="G20" s="150">
        <v>10.586753305535002</v>
      </c>
      <c r="H20" s="150">
        <v>10.868000803305002</v>
      </c>
      <c r="I20" s="150">
        <v>11.029074677535</v>
      </c>
      <c r="J20" s="150">
        <v>11.18556834278</v>
      </c>
      <c r="K20" s="150">
        <v>11.365397242075</v>
      </c>
      <c r="L20" s="150">
        <v>11.608575985485</v>
      </c>
      <c r="M20" s="150">
        <v>11.855303834364999</v>
      </c>
      <c r="N20" s="150">
        <v>12.15442310145</v>
      </c>
      <c r="O20" s="150">
        <v>12.564287656449999</v>
      </c>
      <c r="P20" s="150">
        <v>12.98715874735</v>
      </c>
      <c r="Q20" s="150">
        <v>13.501677372250001</v>
      </c>
      <c r="R20" s="150">
        <v>13.546109894800001</v>
      </c>
      <c r="S20" s="151">
        <v>14.91118134925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228</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229</v>
      </c>
      <c r="B25" s="170">
        <f>(B18-B18)/B18</f>
        <v>0</v>
      </c>
      <c r="C25" s="170">
        <f>(C18-B18)/B18</f>
        <v>3.2008830022074962E-2</v>
      </c>
      <c r="D25" s="170">
        <f>(D18-B18)/B18</f>
        <v>0.1556291390728477</v>
      </c>
      <c r="E25" s="170">
        <f>(E18-B18)/B18</f>
        <v>0.35430463576158927</v>
      </c>
      <c r="F25" s="170">
        <f>(F18-B18)/B18</f>
        <v>0.51545253863134655</v>
      </c>
      <c r="G25" s="170">
        <f>(G18-B18)/B18</f>
        <v>0.54746136865342154</v>
      </c>
      <c r="H25" s="170">
        <f>(H18-B18)/B18</f>
        <v>0.57505518763796892</v>
      </c>
      <c r="I25" s="170">
        <f>(I18-B18)/B18</f>
        <v>0.57064017660044142</v>
      </c>
      <c r="J25" s="170">
        <f>(J18-B18)/B18</f>
        <v>0.72737306843267102</v>
      </c>
      <c r="K25" s="170">
        <f>(K18-B18)/B18</f>
        <v>0.60375275938189832</v>
      </c>
      <c r="L25" s="170">
        <f>(L18-B18)/B18</f>
        <v>0.55408388520971297</v>
      </c>
      <c r="M25" s="170">
        <f>(M18-B18)/B18</f>
        <v>0.68101545253863127</v>
      </c>
      <c r="N25" s="170">
        <f>(N18-B18)/B18</f>
        <v>0.66556291390728461</v>
      </c>
      <c r="O25" s="170">
        <f>(O18-B18)/B18</f>
        <v>0.80794701986754947</v>
      </c>
      <c r="P25" s="170">
        <f>(P18-B18)/B18</f>
        <v>0.38300220750551861</v>
      </c>
      <c r="Q25" s="170">
        <f>(Q18-B18)/B18</f>
        <v>0.48344370860927138</v>
      </c>
      <c r="R25" s="170">
        <f>(R18-B18)/B18</f>
        <v>0.59933774834437081</v>
      </c>
      <c r="S25" s="170">
        <f>(S18-B18)/B18</f>
        <v>0.6324503311258276</v>
      </c>
      <c r="T25"/>
      <c r="U25"/>
      <c r="V25"/>
      <c r="W25"/>
    </row>
    <row r="26" spans="1:23" ht="15" x14ac:dyDescent="0.25">
      <c r="A26" s="143" t="s">
        <v>224</v>
      </c>
      <c r="B26" s="170">
        <f>(B19-B19)/B19</f>
        <v>0</v>
      </c>
      <c r="C26" s="170">
        <f>(C19-B19)/B19</f>
        <v>6.4528136918563059E-2</v>
      </c>
      <c r="D26" s="170">
        <f>(D19-B19)/B19</f>
        <v>0.12550245661815695</v>
      </c>
      <c r="E26" s="170">
        <f>(E19-B19)/B19</f>
        <v>0.12252526751412524</v>
      </c>
      <c r="F26" s="170">
        <f>(F19-B19)/B19</f>
        <v>0.13342355711716858</v>
      </c>
      <c r="G26" s="170">
        <f>(G19-B19)/B19</f>
        <v>0.11292958940545873</v>
      </c>
      <c r="H26" s="170">
        <f>(H19-B19)/B19</f>
        <v>0.23528954250271072</v>
      </c>
      <c r="I26" s="170">
        <f>(I19-B19)/B19</f>
        <v>0.19160978774165338</v>
      </c>
      <c r="J26" s="170">
        <f>(J19-B19)/B19</f>
        <v>0.14478195933577856</v>
      </c>
      <c r="K26" s="170">
        <f>(K19-B19)/B19</f>
        <v>9.8652583235818853E-2</v>
      </c>
      <c r="L26" s="170">
        <f>(L19-B19)/B19</f>
        <v>0.10816628124262403</v>
      </c>
      <c r="M26" s="170">
        <f>(M19-B19)/B19</f>
        <v>0.10800509776243659</v>
      </c>
      <c r="N26" s="170">
        <f>(N19-B19)/B19</f>
        <v>0.16062735626277938</v>
      </c>
      <c r="O26" s="170">
        <f>(O19-B19)/B19</f>
        <v>0.25515244225888956</v>
      </c>
      <c r="P26" s="170">
        <f>(P19-B19)/B19</f>
        <v>0.2339072078363455</v>
      </c>
      <c r="Q26" s="170">
        <f>(Q19-B19)/B19</f>
        <v>0.20993301012931767</v>
      </c>
      <c r="R26" s="170">
        <f>(R19-B19)/B19</f>
        <v>0.19732251542502241</v>
      </c>
      <c r="S26" s="170">
        <f>(S19-B19)/B19</f>
        <v>0.34164475351967966</v>
      </c>
      <c r="T26"/>
      <c r="U26"/>
      <c r="V26"/>
      <c r="W26"/>
    </row>
    <row r="27" spans="1:23" ht="15" x14ac:dyDescent="0.25">
      <c r="A27" s="143" t="s">
        <v>225</v>
      </c>
      <c r="B27" s="170">
        <f>(B20-B20)/B20</f>
        <v>0</v>
      </c>
      <c r="C27" s="170">
        <f>(C20-B20)/B20</f>
        <v>2.9175158508729496E-2</v>
      </c>
      <c r="D27" s="170">
        <f>(D20-B20)/B20</f>
        <v>5.5776454276413291E-2</v>
      </c>
      <c r="E27" s="170">
        <f>(E20-B20)/B20</f>
        <v>9.139412268446323E-2</v>
      </c>
      <c r="F27" s="170">
        <f>(F20-B20)/B20</f>
        <v>0.11910252947501507</v>
      </c>
      <c r="G27" s="170">
        <f>(G20-B20)/B20</f>
        <v>0.15740235131795224</v>
      </c>
      <c r="H27" s="170">
        <f>(H20-B20)/B20</f>
        <v>0.1881498813516502</v>
      </c>
      <c r="I27" s="170">
        <f>(I20-B20)/B20</f>
        <v>0.20575936703525671</v>
      </c>
      <c r="J27" s="170">
        <f>(J20-B20)/B20</f>
        <v>0.22286811897209746</v>
      </c>
      <c r="K27" s="170">
        <f>(K20-B20)/B20</f>
        <v>0.24252800759632134</v>
      </c>
      <c r="L27" s="170">
        <f>(L20-B20)/B20</f>
        <v>0.26911365111614605</v>
      </c>
      <c r="M27" s="170">
        <f>(M20-B20)/B20</f>
        <v>0.29608730245078441</v>
      </c>
      <c r="N27" s="170">
        <f>(N20-B20)/B20</f>
        <v>0.32878867302751075</v>
      </c>
      <c r="O27" s="170">
        <f>(O20-B20)/B20</f>
        <v>0.37359733022280672</v>
      </c>
      <c r="P27" s="170">
        <f>(P20-B20)/B20</f>
        <v>0.41982793376923699</v>
      </c>
      <c r="Q27" s="170">
        <f>(Q20-B20)/B20</f>
        <v>0.47607795198254477</v>
      </c>
      <c r="R27" s="170">
        <f>(R20-B20)/B20</f>
        <v>0.48093556078764194</v>
      </c>
      <c r="S27" s="170">
        <f>(S20-B20)/B20</f>
        <v>0.63017271267928177</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204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4" spans="1:27" ht="15" x14ac:dyDescent="0.25">
      <c r="A4" s="320" t="s">
        <v>205</v>
      </c>
      <c r="B4" s="320"/>
      <c r="C4" s="320"/>
      <c r="D4" s="320"/>
    </row>
    <row r="5" spans="1:27" ht="15" x14ac:dyDescent="0.25">
      <c r="A5" s="321" t="s">
        <v>206</v>
      </c>
      <c r="B5" s="322"/>
      <c r="C5" s="321" t="s">
        <v>207</v>
      </c>
      <c r="D5" s="321"/>
    </row>
    <row r="6" spans="1:27" x14ac:dyDescent="0.2">
      <c r="A6" s="154" t="s">
        <v>208</v>
      </c>
      <c r="B6" s="155" t="s">
        <v>192</v>
      </c>
      <c r="C6" s="154" t="s">
        <v>208</v>
      </c>
      <c r="D6" s="156" t="s">
        <v>192</v>
      </c>
    </row>
    <row r="7" spans="1:27" x14ac:dyDescent="0.2">
      <c r="A7" s="1" t="s">
        <v>209</v>
      </c>
      <c r="B7" s="157">
        <v>0.215</v>
      </c>
      <c r="C7" s="1" t="s">
        <v>209</v>
      </c>
      <c r="D7" s="158">
        <v>0.18</v>
      </c>
    </row>
    <row r="8" spans="1:27" x14ac:dyDescent="0.2">
      <c r="A8" s="1" t="s">
        <v>210</v>
      </c>
      <c r="B8" s="157">
        <v>0.14000000000000001</v>
      </c>
      <c r="C8" s="1" t="s">
        <v>210</v>
      </c>
      <c r="D8" s="158">
        <v>0.152</v>
      </c>
    </row>
    <row r="9" spans="1:27" x14ac:dyDescent="0.2">
      <c r="A9" s="1" t="s">
        <v>211</v>
      </c>
      <c r="B9" s="157">
        <v>9.0999999999999998E-2</v>
      </c>
      <c r="C9" s="1" t="s">
        <v>212</v>
      </c>
      <c r="D9" s="158">
        <v>0.123</v>
      </c>
    </row>
    <row r="10" spans="1:27" x14ac:dyDescent="0.2">
      <c r="A10" s="1" t="s">
        <v>212</v>
      </c>
      <c r="B10" s="157">
        <v>8.1000000000000003E-2</v>
      </c>
      <c r="C10" s="1" t="s">
        <v>213</v>
      </c>
      <c r="D10" s="158">
        <v>0.104</v>
      </c>
    </row>
    <row r="11" spans="1:27" x14ac:dyDescent="0.2">
      <c r="A11" s="1" t="s">
        <v>214</v>
      </c>
      <c r="B11" s="157">
        <v>6.9000000000000006E-2</v>
      </c>
      <c r="C11" s="1" t="s">
        <v>215</v>
      </c>
      <c r="D11" s="158">
        <f>2475/24750</f>
        <v>0.1</v>
      </c>
    </row>
    <row r="12" spans="1:27" x14ac:dyDescent="0.2">
      <c r="A12" s="1" t="s">
        <v>215</v>
      </c>
      <c r="B12" s="157">
        <v>6.8000000000000005E-2</v>
      </c>
      <c r="C12" s="1" t="s">
        <v>211</v>
      </c>
      <c r="D12" s="158">
        <v>9.4E-2</v>
      </c>
    </row>
    <row r="13" spans="1:27" x14ac:dyDescent="0.2">
      <c r="A13" s="1" t="s">
        <v>216</v>
      </c>
      <c r="B13" s="157">
        <f>1642/24750</f>
        <v>6.6343434343434343E-2</v>
      </c>
      <c r="C13" s="1" t="s">
        <v>217</v>
      </c>
      <c r="D13" s="158">
        <v>8.7999999999999995E-2</v>
      </c>
    </row>
    <row r="14" spans="1:27" x14ac:dyDescent="0.2">
      <c r="A14" s="1" t="s">
        <v>213</v>
      </c>
      <c r="B14" s="157">
        <f>1626/24750</f>
        <v>6.5696969696969698E-2</v>
      </c>
      <c r="C14" s="1" t="s">
        <v>218</v>
      </c>
      <c r="D14" s="158">
        <v>7.0999999999999994E-2</v>
      </c>
    </row>
    <row r="15" spans="1:27" x14ac:dyDescent="0.2">
      <c r="A15" s="1" t="s">
        <v>219</v>
      </c>
      <c r="B15" s="157">
        <f>1601/24750</f>
        <v>6.4686868686868682E-2</v>
      </c>
      <c r="C15" s="1" t="s">
        <v>214</v>
      </c>
      <c r="D15" s="158">
        <v>6.9000000000000006E-2</v>
      </c>
    </row>
    <row r="16" spans="1:27" x14ac:dyDescent="0.2">
      <c r="A16" s="1" t="s">
        <v>217</v>
      </c>
      <c r="B16" s="157">
        <f>1460/24750</f>
        <v>5.8989898989898988E-2</v>
      </c>
      <c r="C16" s="1" t="s">
        <v>220</v>
      </c>
      <c r="D16" s="158">
        <v>6.7000000000000004E-2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D8" sqref="D8"/>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9" t="s">
        <v>230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3" spans="1:27" ht="15" x14ac:dyDescent="0.25">
      <c r="A3" s="193" t="s">
        <v>231</v>
      </c>
      <c r="B3" s="193"/>
      <c r="C3" s="193"/>
      <c r="D3" s="193"/>
      <c r="F3" s="320" t="s">
        <v>232</v>
      </c>
      <c r="G3" s="320"/>
      <c r="H3" s="320"/>
    </row>
    <row r="4" spans="1:27" ht="28.5" x14ac:dyDescent="0.2">
      <c r="A4" s="191" t="s">
        <v>233</v>
      </c>
      <c r="B4" s="191" t="s">
        <v>234</v>
      </c>
      <c r="C4" s="192" t="s">
        <v>235</v>
      </c>
      <c r="D4" s="1"/>
      <c r="F4" s="191" t="s">
        <v>236</v>
      </c>
      <c r="G4" s="192" t="s">
        <v>237</v>
      </c>
      <c r="H4" s="37" t="s">
        <v>238</v>
      </c>
      <c r="O4" s="1"/>
    </row>
    <row r="5" spans="1:27" x14ac:dyDescent="0.2">
      <c r="A5" s="160">
        <v>43313</v>
      </c>
      <c r="B5" s="159">
        <v>26</v>
      </c>
      <c r="C5" s="218" t="s">
        <v>239</v>
      </c>
      <c r="D5" s="1"/>
      <c r="F5" s="1" t="s">
        <v>240</v>
      </c>
      <c r="G5" s="159">
        <v>14</v>
      </c>
      <c r="H5" s="203" t="s">
        <v>241</v>
      </c>
      <c r="O5" s="1"/>
    </row>
    <row r="6" spans="1:27" x14ac:dyDescent="0.2">
      <c r="A6" s="160">
        <v>43344</v>
      </c>
      <c r="B6" s="159">
        <v>22</v>
      </c>
      <c r="C6" s="218" t="s">
        <v>239</v>
      </c>
      <c r="D6" s="1"/>
      <c r="F6" s="1" t="s">
        <v>242</v>
      </c>
      <c r="G6" s="159">
        <v>5</v>
      </c>
      <c r="H6" s="203" t="s">
        <v>243</v>
      </c>
      <c r="O6" s="1"/>
    </row>
    <row r="7" spans="1:27" x14ac:dyDescent="0.2">
      <c r="A7" s="160">
        <v>43374</v>
      </c>
      <c r="B7" s="159">
        <v>17</v>
      </c>
      <c r="C7" s="218" t="s">
        <v>239</v>
      </c>
      <c r="D7" s="1"/>
      <c r="F7" s="1" t="s">
        <v>244</v>
      </c>
      <c r="G7" s="159">
        <v>4</v>
      </c>
      <c r="H7" s="203" t="s">
        <v>245</v>
      </c>
      <c r="O7" s="1"/>
    </row>
    <row r="8" spans="1:27" x14ac:dyDescent="0.2">
      <c r="A8" s="160">
        <v>43405</v>
      </c>
      <c r="B8" s="159">
        <v>12</v>
      </c>
      <c r="C8" s="218" t="s">
        <v>239</v>
      </c>
      <c r="D8" s="1"/>
      <c r="F8" s="1" t="s">
        <v>246</v>
      </c>
      <c r="G8" s="159">
        <v>3</v>
      </c>
      <c r="H8" s="203" t="s">
        <v>247</v>
      </c>
      <c r="O8" s="1"/>
    </row>
    <row r="9" spans="1:27" x14ac:dyDescent="0.2">
      <c r="A9" s="160">
        <v>43435</v>
      </c>
      <c r="B9" s="159">
        <v>12</v>
      </c>
      <c r="C9" s="218" t="s">
        <v>239</v>
      </c>
      <c r="D9" s="161"/>
      <c r="F9" s="1" t="s">
        <v>248</v>
      </c>
      <c r="G9" s="159">
        <v>3</v>
      </c>
      <c r="H9" s="203" t="s">
        <v>249</v>
      </c>
      <c r="O9" s="1"/>
    </row>
    <row r="10" spans="1:27" x14ac:dyDescent="0.2">
      <c r="A10" s="160">
        <v>43466</v>
      </c>
      <c r="B10" s="159">
        <v>12</v>
      </c>
      <c r="C10" s="218" t="s">
        <v>239</v>
      </c>
      <c r="D10" s="161"/>
      <c r="F10" s="1" t="s">
        <v>250</v>
      </c>
      <c r="G10" s="159">
        <v>2</v>
      </c>
      <c r="H10" s="203" t="s">
        <v>251</v>
      </c>
      <c r="O10" s="1"/>
    </row>
    <row r="11" spans="1:27" x14ac:dyDescent="0.2">
      <c r="A11" s="160">
        <v>43497</v>
      </c>
      <c r="B11" s="159">
        <v>17</v>
      </c>
      <c r="C11" s="218" t="s">
        <v>239</v>
      </c>
      <c r="D11" s="161"/>
      <c r="F11" s="1" t="s">
        <v>252</v>
      </c>
      <c r="G11" s="159">
        <v>2</v>
      </c>
      <c r="H11" s="203" t="s">
        <v>253</v>
      </c>
      <c r="O11" s="1"/>
    </row>
    <row r="12" spans="1:27" x14ac:dyDescent="0.2">
      <c r="A12" s="160">
        <v>43525</v>
      </c>
      <c r="B12" s="159">
        <v>16</v>
      </c>
      <c r="C12" s="218" t="s">
        <v>239</v>
      </c>
      <c r="D12" s="161"/>
      <c r="F12" s="1" t="s">
        <v>254</v>
      </c>
      <c r="G12" s="159">
        <v>2</v>
      </c>
      <c r="H12" s="203" t="s">
        <v>251</v>
      </c>
      <c r="O12" s="1"/>
    </row>
    <row r="13" spans="1:27" x14ac:dyDescent="0.2">
      <c r="A13" s="160">
        <v>43556</v>
      </c>
      <c r="B13" s="159">
        <v>11</v>
      </c>
      <c r="C13" s="218" t="s">
        <v>239</v>
      </c>
      <c r="D13" s="161"/>
      <c r="F13" s="1" t="s">
        <v>255</v>
      </c>
      <c r="G13" s="159">
        <v>2</v>
      </c>
      <c r="H13" s="203" t="s">
        <v>256</v>
      </c>
      <c r="O13" s="1"/>
    </row>
    <row r="14" spans="1:27" x14ac:dyDescent="0.2">
      <c r="A14" s="160">
        <v>43586</v>
      </c>
      <c r="B14" s="159">
        <v>3</v>
      </c>
      <c r="C14" s="218" t="s">
        <v>239</v>
      </c>
      <c r="D14" s="161"/>
      <c r="F14" s="1" t="s">
        <v>257</v>
      </c>
      <c r="G14" s="159">
        <v>2</v>
      </c>
      <c r="H14" s="203" t="s">
        <v>258</v>
      </c>
      <c r="O14" s="1"/>
    </row>
    <row r="15" spans="1:27" x14ac:dyDescent="0.2">
      <c r="A15" s="160">
        <v>43617</v>
      </c>
      <c r="B15" s="159">
        <v>7</v>
      </c>
      <c r="C15" s="218" t="s">
        <v>239</v>
      </c>
      <c r="D15" s="161"/>
      <c r="O15" s="1"/>
    </row>
    <row r="16" spans="1:27" x14ac:dyDescent="0.2">
      <c r="A16" s="160">
        <v>43647</v>
      </c>
      <c r="B16" s="159">
        <v>8</v>
      </c>
      <c r="C16" s="218" t="s">
        <v>239</v>
      </c>
      <c r="D16" s="161"/>
      <c r="O16" s="1"/>
    </row>
    <row r="17" spans="1:15" x14ac:dyDescent="0.2">
      <c r="A17" s="160">
        <v>43678</v>
      </c>
      <c r="B17" s="159">
        <v>6</v>
      </c>
      <c r="C17" s="218" t="s">
        <v>239</v>
      </c>
      <c r="D17" s="161"/>
      <c r="O17" s="1"/>
    </row>
    <row r="18" spans="1:15" x14ac:dyDescent="0.2">
      <c r="A18" s="160">
        <v>43709</v>
      </c>
      <c r="B18" s="159">
        <v>6</v>
      </c>
      <c r="C18" s="218" t="s">
        <v>239</v>
      </c>
      <c r="D18" s="161"/>
      <c r="I18" s="39"/>
      <c r="O18" s="1"/>
    </row>
    <row r="19" spans="1:15" x14ac:dyDescent="0.2">
      <c r="A19" s="160">
        <v>43739</v>
      </c>
      <c r="B19" s="159">
        <v>3</v>
      </c>
      <c r="C19" s="218" t="s">
        <v>239</v>
      </c>
      <c r="D19" s="161"/>
      <c r="I19" s="39"/>
      <c r="O19" s="1"/>
    </row>
    <row r="20" spans="1:15" x14ac:dyDescent="0.2">
      <c r="A20" s="160">
        <v>43770</v>
      </c>
      <c r="B20" s="159">
        <v>2</v>
      </c>
      <c r="C20" s="218" t="s">
        <v>239</v>
      </c>
      <c r="D20" s="161"/>
      <c r="I20" s="39"/>
      <c r="O20" s="1"/>
    </row>
    <row r="21" spans="1:15" x14ac:dyDescent="0.2">
      <c r="A21" s="160">
        <v>43800</v>
      </c>
      <c r="B21" s="159">
        <v>2</v>
      </c>
      <c r="C21" s="218" t="s">
        <v>239</v>
      </c>
      <c r="D21" s="161"/>
      <c r="I21" s="39"/>
      <c r="O21" s="1"/>
    </row>
    <row r="22" spans="1:15" x14ac:dyDescent="0.2">
      <c r="A22" s="160">
        <v>43831</v>
      </c>
      <c r="B22" s="159">
        <v>3</v>
      </c>
      <c r="C22" s="218" t="s">
        <v>239</v>
      </c>
      <c r="D22" s="161"/>
      <c r="I22" s="39"/>
      <c r="O22" s="1"/>
    </row>
    <row r="23" spans="1:15" x14ac:dyDescent="0.2">
      <c r="A23" s="160">
        <v>43862</v>
      </c>
      <c r="B23" s="159">
        <v>1</v>
      </c>
      <c r="C23" s="218" t="s">
        <v>239</v>
      </c>
      <c r="D23" s="161"/>
      <c r="O23" s="1"/>
    </row>
    <row r="24" spans="1:15" x14ac:dyDescent="0.2">
      <c r="A24" s="160">
        <v>43891</v>
      </c>
      <c r="B24" s="159">
        <v>3</v>
      </c>
      <c r="C24" s="218" t="s">
        <v>239</v>
      </c>
      <c r="D24" s="161"/>
      <c r="O24" s="1"/>
    </row>
    <row r="25" spans="1:15" x14ac:dyDescent="0.2">
      <c r="A25" s="160">
        <v>43922</v>
      </c>
      <c r="B25" s="159">
        <v>2</v>
      </c>
      <c r="C25" s="218" t="s">
        <v>239</v>
      </c>
      <c r="D25" s="161"/>
      <c r="O25" s="1"/>
    </row>
    <row r="26" spans="1:15" x14ac:dyDescent="0.2">
      <c r="A26" s="160">
        <v>43952</v>
      </c>
      <c r="B26" s="159">
        <v>5</v>
      </c>
      <c r="C26" s="218" t="s">
        <v>239</v>
      </c>
      <c r="D26" s="161"/>
      <c r="O26" s="1"/>
    </row>
    <row r="27" spans="1:15" x14ac:dyDescent="0.2">
      <c r="A27" s="160">
        <v>43983</v>
      </c>
      <c r="B27" s="159">
        <v>8</v>
      </c>
      <c r="C27" s="218" t="s">
        <v>239</v>
      </c>
      <c r="D27" s="161"/>
      <c r="O27" s="1"/>
    </row>
    <row r="28" spans="1:15" x14ac:dyDescent="0.2">
      <c r="A28" s="160">
        <v>44013</v>
      </c>
      <c r="B28" s="159">
        <v>8</v>
      </c>
      <c r="C28" s="218" t="s">
        <v>239</v>
      </c>
      <c r="D28" s="161"/>
      <c r="O28" s="1"/>
    </row>
    <row r="29" spans="1:15" x14ac:dyDescent="0.2">
      <c r="A29" s="160">
        <v>44044</v>
      </c>
      <c r="B29" s="159">
        <v>7</v>
      </c>
      <c r="C29" s="218" t="s">
        <v>239</v>
      </c>
      <c r="D29" s="161"/>
      <c r="O29" s="1"/>
    </row>
    <row r="30" spans="1:15" x14ac:dyDescent="0.2">
      <c r="A30" s="160">
        <v>44075</v>
      </c>
      <c r="B30" s="159">
        <v>9</v>
      </c>
      <c r="C30" s="218" t="s">
        <v>239</v>
      </c>
      <c r="D30" s="161"/>
      <c r="O30" s="1"/>
    </row>
    <row r="31" spans="1:15" x14ac:dyDescent="0.2">
      <c r="A31" s="160">
        <v>44105</v>
      </c>
      <c r="B31" s="159">
        <v>5</v>
      </c>
      <c r="C31" s="218" t="s">
        <v>239</v>
      </c>
      <c r="D31" s="161"/>
      <c r="O31" s="1"/>
    </row>
    <row r="32" spans="1:15" x14ac:dyDescent="0.2">
      <c r="A32" s="160">
        <v>44136</v>
      </c>
      <c r="B32" s="159">
        <v>6</v>
      </c>
      <c r="C32" s="218" t="s">
        <v>239</v>
      </c>
      <c r="D32" s="161"/>
      <c r="O32" s="1"/>
    </row>
    <row r="33" spans="1:15" x14ac:dyDescent="0.2">
      <c r="A33" s="160">
        <v>44166</v>
      </c>
      <c r="B33" s="159">
        <v>3</v>
      </c>
      <c r="C33" s="218" t="s">
        <v>239</v>
      </c>
      <c r="D33" s="161"/>
      <c r="O33" s="1"/>
    </row>
    <row r="34" spans="1:15" x14ac:dyDescent="0.2">
      <c r="A34" s="160">
        <v>44197</v>
      </c>
      <c r="B34" s="159">
        <v>6</v>
      </c>
      <c r="C34" s="218" t="s">
        <v>239</v>
      </c>
      <c r="D34" s="161"/>
      <c r="O34" s="1"/>
    </row>
    <row r="35" spans="1:15" x14ac:dyDescent="0.2">
      <c r="A35" s="160">
        <v>44228</v>
      </c>
      <c r="B35" s="159">
        <v>5</v>
      </c>
      <c r="C35" s="218" t="s">
        <v>239</v>
      </c>
      <c r="D35" s="161"/>
      <c r="O35" s="1"/>
    </row>
    <row r="36" spans="1:15" x14ac:dyDescent="0.2">
      <c r="A36" s="160">
        <v>44256</v>
      </c>
      <c r="B36" s="159">
        <v>8</v>
      </c>
      <c r="C36" s="218" t="s">
        <v>239</v>
      </c>
      <c r="D36" s="161"/>
      <c r="O36" s="1"/>
    </row>
    <row r="37" spans="1:15" x14ac:dyDescent="0.2">
      <c r="A37" s="160">
        <v>44287</v>
      </c>
      <c r="B37" s="159">
        <v>10</v>
      </c>
      <c r="C37" s="218" t="s">
        <v>239</v>
      </c>
      <c r="D37" s="161"/>
      <c r="O37" s="1"/>
    </row>
    <row r="38" spans="1:15" x14ac:dyDescent="0.2">
      <c r="A38" s="160">
        <v>44317</v>
      </c>
      <c r="B38" s="159">
        <v>12</v>
      </c>
      <c r="C38" s="218" t="s">
        <v>239</v>
      </c>
      <c r="D38" s="161"/>
      <c r="O38" s="1"/>
    </row>
    <row r="39" spans="1:15" x14ac:dyDescent="0.2">
      <c r="A39" s="160">
        <v>44348</v>
      </c>
      <c r="B39" s="159">
        <v>13</v>
      </c>
      <c r="C39" s="218" t="s">
        <v>239</v>
      </c>
      <c r="D39" s="161"/>
      <c r="O39" s="1"/>
    </row>
    <row r="40" spans="1:15" x14ac:dyDescent="0.2">
      <c r="A40" s="160">
        <v>44378</v>
      </c>
      <c r="B40" s="159">
        <v>19</v>
      </c>
      <c r="C40" s="218" t="s">
        <v>239</v>
      </c>
      <c r="D40" s="161"/>
      <c r="O40" s="1"/>
    </row>
    <row r="41" spans="1:15" x14ac:dyDescent="0.2">
      <c r="A41" s="160">
        <v>44409</v>
      </c>
      <c r="B41" s="159">
        <v>19</v>
      </c>
      <c r="C41" s="218" t="s">
        <v>239</v>
      </c>
      <c r="D41" s="161"/>
      <c r="O41" s="1"/>
    </row>
    <row r="42" spans="1:15" x14ac:dyDescent="0.2">
      <c r="A42" s="160">
        <v>44440</v>
      </c>
      <c r="B42" s="159">
        <v>17</v>
      </c>
      <c r="C42" s="218" t="s">
        <v>239</v>
      </c>
      <c r="D42" s="161"/>
      <c r="O42" s="1"/>
    </row>
    <row r="43" spans="1:15" x14ac:dyDescent="0.2">
      <c r="A43" s="160">
        <v>44470</v>
      </c>
      <c r="B43" s="159">
        <v>10</v>
      </c>
      <c r="C43" s="218" t="s">
        <v>239</v>
      </c>
      <c r="D43" s="161"/>
      <c r="O43" s="1"/>
    </row>
    <row r="44" spans="1:15" x14ac:dyDescent="0.2">
      <c r="A44" s="160">
        <v>44501</v>
      </c>
      <c r="B44" s="159">
        <v>11</v>
      </c>
      <c r="C44" s="218" t="s">
        <v>239</v>
      </c>
      <c r="D44" s="161"/>
      <c r="O44" s="1"/>
    </row>
    <row r="45" spans="1:15" x14ac:dyDescent="0.2">
      <c r="A45" s="160">
        <v>44531</v>
      </c>
      <c r="B45" s="159">
        <v>10</v>
      </c>
      <c r="C45" s="218" t="s">
        <v>239</v>
      </c>
      <c r="D45" s="161"/>
      <c r="O45" s="1"/>
    </row>
    <row r="46" spans="1:15" x14ac:dyDescent="0.2">
      <c r="A46" s="160">
        <v>44562</v>
      </c>
      <c r="B46" s="159">
        <v>6</v>
      </c>
      <c r="C46" s="218" t="s">
        <v>239</v>
      </c>
      <c r="D46" s="161"/>
      <c r="O46" s="1"/>
    </row>
    <row r="47" spans="1:15" x14ac:dyDescent="0.2">
      <c r="A47" s="160">
        <v>44593</v>
      </c>
      <c r="B47" s="159">
        <v>3</v>
      </c>
      <c r="C47" s="218" t="s">
        <v>239</v>
      </c>
      <c r="D47" s="161"/>
      <c r="O47" s="1"/>
    </row>
    <row r="48" spans="1:15" x14ac:dyDescent="0.2">
      <c r="A48" s="160">
        <v>44621</v>
      </c>
      <c r="B48" s="159">
        <v>4</v>
      </c>
      <c r="C48" s="218" t="s">
        <v>239</v>
      </c>
      <c r="D48" s="161"/>
      <c r="O48" s="1"/>
    </row>
    <row r="49" spans="1:15" x14ac:dyDescent="0.2">
      <c r="A49" s="160">
        <v>44652</v>
      </c>
      <c r="B49" s="159">
        <v>4</v>
      </c>
      <c r="C49" s="218" t="s">
        <v>239</v>
      </c>
      <c r="D49" s="161"/>
      <c r="O49" s="1"/>
    </row>
    <row r="50" spans="1:15" x14ac:dyDescent="0.2">
      <c r="A50" s="160">
        <v>44682</v>
      </c>
      <c r="B50" s="159">
        <v>4</v>
      </c>
      <c r="C50" s="218" t="s">
        <v>239</v>
      </c>
      <c r="D50" s="161"/>
      <c r="O50" s="1"/>
    </row>
    <row r="51" spans="1:15" x14ac:dyDescent="0.2">
      <c r="A51" s="160">
        <v>44713</v>
      </c>
      <c r="B51" s="159">
        <v>5</v>
      </c>
      <c r="C51" s="218" t="s">
        <v>239</v>
      </c>
      <c r="D51" s="161"/>
      <c r="O51" s="1"/>
    </row>
    <row r="52" spans="1:15" x14ac:dyDescent="0.2">
      <c r="A52" s="160">
        <v>44743</v>
      </c>
      <c r="B52" s="159">
        <v>7</v>
      </c>
      <c r="C52" s="218" t="s">
        <v>239</v>
      </c>
      <c r="D52" s="161"/>
      <c r="O52" s="1"/>
    </row>
    <row r="53" spans="1:15" x14ac:dyDescent="0.2">
      <c r="A53" s="160">
        <v>44774</v>
      </c>
      <c r="B53" s="159">
        <v>6</v>
      </c>
      <c r="C53" s="218" t="s">
        <v>239</v>
      </c>
      <c r="D53" s="161"/>
      <c r="O53" s="1"/>
    </row>
    <row r="54" spans="1:15" x14ac:dyDescent="0.2">
      <c r="A54" s="160">
        <v>44805</v>
      </c>
      <c r="B54" s="159">
        <v>9</v>
      </c>
      <c r="C54" s="218" t="s">
        <v>239</v>
      </c>
      <c r="D54" s="161"/>
      <c r="O54" s="1"/>
    </row>
    <row r="55" spans="1:15" x14ac:dyDescent="0.2">
      <c r="A55" s="160">
        <v>44835</v>
      </c>
      <c r="B55" s="159">
        <v>6</v>
      </c>
      <c r="C55" s="218" t="s">
        <v>239</v>
      </c>
      <c r="D55" s="161"/>
      <c r="O55" s="1"/>
    </row>
    <row r="56" spans="1:15" x14ac:dyDescent="0.2">
      <c r="A56" s="160">
        <v>44866</v>
      </c>
      <c r="B56" s="159">
        <v>7</v>
      </c>
      <c r="C56" s="218" t="s">
        <v>239</v>
      </c>
      <c r="D56" s="161"/>
      <c r="O56" s="1"/>
    </row>
    <row r="57" spans="1:15" x14ac:dyDescent="0.2">
      <c r="A57" s="160">
        <v>44896</v>
      </c>
      <c r="B57" s="159">
        <v>9</v>
      </c>
      <c r="C57" s="218" t="s">
        <v>239</v>
      </c>
      <c r="D57" s="161"/>
      <c r="O57" s="1"/>
    </row>
    <row r="58" spans="1:15" x14ac:dyDescent="0.2">
      <c r="A58" s="160">
        <v>44927</v>
      </c>
      <c r="B58" s="159">
        <v>8</v>
      </c>
      <c r="C58" s="218" t="s">
        <v>239</v>
      </c>
      <c r="D58" s="161"/>
      <c r="O58" s="1"/>
    </row>
    <row r="59" spans="1:15" x14ac:dyDescent="0.2">
      <c r="A59" s="160">
        <v>44958</v>
      </c>
      <c r="B59" s="159">
        <v>8</v>
      </c>
      <c r="C59" s="218" t="s">
        <v>239</v>
      </c>
      <c r="D59" s="161"/>
      <c r="O59" s="1"/>
    </row>
    <row r="60" spans="1:15" x14ac:dyDescent="0.2">
      <c r="A60" s="160">
        <v>44986</v>
      </c>
      <c r="B60" s="159">
        <v>11</v>
      </c>
      <c r="C60" s="218" t="s">
        <v>239</v>
      </c>
      <c r="D60" s="161"/>
      <c r="O60" s="1"/>
    </row>
    <row r="61" spans="1:15" x14ac:dyDescent="0.2">
      <c r="A61" s="160">
        <v>45017</v>
      </c>
      <c r="B61" s="159">
        <v>18</v>
      </c>
      <c r="C61" s="218" t="s">
        <v>239</v>
      </c>
      <c r="D61" s="161"/>
      <c r="O61" s="1"/>
    </row>
    <row r="62" spans="1:15" x14ac:dyDescent="0.2">
      <c r="A62" s="160">
        <v>45047</v>
      </c>
      <c r="B62" s="159">
        <v>17</v>
      </c>
      <c r="C62" s="218" t="s">
        <v>239</v>
      </c>
      <c r="D62" s="161"/>
      <c r="O62" s="1"/>
    </row>
    <row r="63" spans="1:15" x14ac:dyDescent="0.2">
      <c r="A63" s="160">
        <v>45078</v>
      </c>
      <c r="B63" s="159">
        <v>17</v>
      </c>
      <c r="C63" s="218" t="s">
        <v>239</v>
      </c>
      <c r="D63" s="161"/>
      <c r="O63" s="1"/>
    </row>
    <row r="64" spans="1:15" x14ac:dyDescent="0.2">
      <c r="A64" s="160">
        <v>45108</v>
      </c>
      <c r="B64" s="159">
        <v>25</v>
      </c>
      <c r="C64" s="218" t="s">
        <v>239</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195916-4D42-440A-A794-3367A257CD4E}"/>
</file>

<file path=customXml/itemProps2.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3.xml><?xml version="1.0" encoding="utf-8"?>
<ds:datastoreItem xmlns:ds="http://schemas.openxmlformats.org/officeDocument/2006/customXml" ds:itemID="{CC8E6ABC-05F3-4649-87B5-8660A8355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Andrews</dc:creator>
  <cp:keywords/>
  <dc:description/>
  <cp:lastModifiedBy>Alex Andrews</cp:lastModifiedBy>
  <cp:revision/>
  <dcterms:created xsi:type="dcterms:W3CDTF">2023-03-27T15:01:32Z</dcterms:created>
  <dcterms:modified xsi:type="dcterms:W3CDTF">2023-11-15T19:02:13Z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