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6.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7.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30.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3.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4.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5.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6.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9.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618" documentId="8_{C35C686B-21C5-40FC-8B6C-8853F62AA08B}" xr6:coauthVersionLast="47" xr6:coauthVersionMax="47" xr10:uidLastSave="{2EC74A02-3154-4A2D-BFCB-4CA9B800FEDD}"/>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9" i="48" l="1"/>
  <c r="F7" i="48"/>
  <c r="T43" i="48"/>
  <c r="U43" i="48" s="1"/>
  <c r="T42" i="48"/>
  <c r="U42" i="48" s="1"/>
  <c r="U41" i="48"/>
  <c r="T41" i="48"/>
  <c r="U40" i="48"/>
  <c r="T40" i="48"/>
  <c r="T39" i="48"/>
  <c r="U39" i="48" s="1"/>
  <c r="T38" i="48"/>
  <c r="U38" i="48" s="1"/>
  <c r="T43" i="36"/>
  <c r="U43" i="36" s="1"/>
  <c r="T42" i="36"/>
  <c r="U42" i="36" s="1"/>
  <c r="U41" i="36"/>
  <c r="T41" i="36"/>
  <c r="U40" i="36"/>
  <c r="T40" i="36"/>
  <c r="T39" i="36"/>
  <c r="U39" i="36" s="1"/>
  <c r="T38" i="36"/>
  <c r="U38" i="36" s="1"/>
  <c r="T43" i="32"/>
  <c r="U43" i="32" s="1"/>
  <c r="U42" i="32"/>
  <c r="T42" i="32"/>
  <c r="T41" i="32"/>
  <c r="U41" i="32" s="1"/>
  <c r="T40" i="32"/>
  <c r="U40" i="32" s="1"/>
  <c r="T39" i="32"/>
  <c r="U39" i="32" s="1"/>
  <c r="T38" i="32"/>
  <c r="U38" i="32" s="1"/>
  <c r="T43" i="18"/>
  <c r="U43" i="18" s="1"/>
  <c r="T42" i="18"/>
  <c r="U42" i="18" s="1"/>
  <c r="T41" i="18"/>
  <c r="U41" i="18" s="1"/>
  <c r="T40" i="18"/>
  <c r="U40" i="18" s="1"/>
  <c r="T39" i="18"/>
  <c r="U39" i="18" s="1"/>
  <c r="T38" i="18"/>
  <c r="U38" i="18" s="1"/>
  <c r="G7" i="18" l="1"/>
  <c r="O8" i="35" l="1"/>
  <c r="B5" i="19"/>
  <c r="B12" i="19"/>
  <c r="D29" i="18"/>
  <c r="C7" i="17"/>
  <c r="D11" i="13"/>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B16" i="29"/>
  <c r="B15" i="29"/>
  <c r="B14" i="29"/>
  <c r="B13" i="29"/>
  <c r="B12" i="29"/>
  <c r="B11" i="29"/>
  <c r="B10" i="29"/>
  <c r="B9" i="29"/>
  <c r="B8" i="29"/>
  <c r="B7" i="29"/>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D15" i="38"/>
  <c r="D14" i="38"/>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G12" i="18"/>
  <c r="G11" i="18"/>
  <c r="G10" i="18"/>
  <c r="G9" i="18"/>
  <c r="G8"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O8" i="17" l="1"/>
  <c r="K13" i="17"/>
  <c r="K9" i="17"/>
  <c r="C13"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6" i="15"/>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F21" i="13"/>
  <c r="F8" i="23" s="1"/>
  <c r="B32" i="23" s="1"/>
  <c r="G21" i="13"/>
  <c r="G8" i="23" s="1"/>
  <c r="J21" i="13"/>
  <c r="J8" i="23" s="1"/>
  <c r="I12" i="13"/>
  <c r="I6" i="22" s="1"/>
  <c r="E12" i="13"/>
  <c r="H33" i="25" l="1"/>
  <c r="K9"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35" i="25"/>
  <c r="E38" i="25"/>
  <c r="E34" i="25"/>
  <c r="G36" i="25"/>
  <c r="G33" i="25"/>
  <c r="F33" i="25" s="1"/>
  <c r="G38" i="25"/>
  <c r="E36" i="25"/>
  <c r="E37" i="25"/>
  <c r="G37" i="25"/>
  <c r="G34" i="25"/>
  <c r="E35" i="25"/>
  <c r="F35" i="25" s="1"/>
  <c r="F34" i="15"/>
  <c r="F37" i="15"/>
  <c r="F35" i="15"/>
  <c r="M21" i="13"/>
  <c r="N21" i="13" s="1"/>
  <c r="L21" i="13"/>
  <c r="L8" i="23" s="1"/>
  <c r="L9" i="23" s="1"/>
  <c r="G36" i="22"/>
  <c r="G34" i="22"/>
  <c r="G33" i="22"/>
  <c r="G32" i="22"/>
  <c r="F32" i="22" s="1"/>
  <c r="E37" i="22"/>
  <c r="E36" i="22"/>
  <c r="E34" i="22"/>
  <c r="F34" i="22" s="1"/>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E19" i="25" l="1"/>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6" i="25"/>
  <c r="F37" i="25"/>
  <c r="F34" i="25"/>
  <c r="M9" i="25"/>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F38" i="25"/>
  <c r="F20" i="15"/>
  <c r="H36" i="25"/>
  <c r="H37" i="25"/>
  <c r="J38" i="25"/>
  <c r="H35" i="25"/>
  <c r="I35" i="25" s="1"/>
  <c r="J35" i="25"/>
  <c r="J34" i="25"/>
  <c r="H38" i="25"/>
  <c r="J36" i="25"/>
  <c r="H34" i="25"/>
  <c r="I34" i="25" s="1"/>
  <c r="J37" i="25"/>
  <c r="J33" i="25"/>
  <c r="I33"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L33" i="22" s="1"/>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M36" i="25" l="1"/>
  <c r="K36" i="25"/>
  <c r="L36" i="25" s="1"/>
  <c r="M37" i="25"/>
  <c r="L37" i="25" s="1"/>
  <c r="M34" i="25"/>
  <c r="K37" i="25"/>
  <c r="K35" i="25"/>
  <c r="K34" i="25"/>
  <c r="L34" i="25" s="1"/>
  <c r="M33" i="25"/>
  <c r="L33" i="25" s="1"/>
  <c r="M38" i="25"/>
  <c r="M35" i="25"/>
  <c r="K38" i="25"/>
  <c r="L38" i="25" s="1"/>
  <c r="I36" i="25"/>
  <c r="G11" i="13"/>
  <c r="G6" i="15" s="1"/>
  <c r="I38" i="25"/>
  <c r="B35" i="25"/>
  <c r="D33" i="25"/>
  <c r="C33" i="25" s="1"/>
  <c r="D36" i="25"/>
  <c r="B37" i="25"/>
  <c r="C37" i="25" s="1"/>
  <c r="D34" i="25"/>
  <c r="B36" i="25"/>
  <c r="B38" i="25"/>
  <c r="D37" i="25"/>
  <c r="B34" i="25"/>
  <c r="C34" i="25" s="1"/>
  <c r="D38" i="25"/>
  <c r="D35" i="25"/>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K7" i="25"/>
  <c r="H19" i="25"/>
  <c r="G23" i="25"/>
  <c r="G20" i="25"/>
  <c r="G22" i="25"/>
  <c r="E22" i="25"/>
  <c r="F22" i="25" s="1"/>
  <c r="E23" i="25"/>
  <c r="F23" i="25" s="1"/>
  <c r="E20" i="25"/>
  <c r="E21" i="25"/>
  <c r="F21" i="25" s="1"/>
  <c r="G19" i="25"/>
  <c r="F19" i="25" s="1"/>
  <c r="G24" i="25"/>
  <c r="G21" i="25"/>
  <c r="E24" i="25"/>
  <c r="F24" i="25" s="1"/>
  <c r="I37" i="25"/>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L35" i="25" l="1"/>
  <c r="C38" i="25"/>
  <c r="V5" i="25"/>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J23" i="25"/>
  <c r="J20" i="25"/>
  <c r="H23" i="25"/>
  <c r="H20" i="25"/>
  <c r="I20" i="25" s="1"/>
  <c r="J24" i="25"/>
  <c r="J22" i="25"/>
  <c r="H21" i="25"/>
  <c r="I21" i="25" s="1"/>
  <c r="H22" i="25"/>
  <c r="I22" i="25" s="1"/>
  <c r="J21" i="25"/>
  <c r="H24" i="25"/>
  <c r="I24" i="25" s="1"/>
  <c r="J19" i="25"/>
  <c r="I19" i="25" s="1"/>
  <c r="D24" i="25"/>
  <c r="D21" i="25"/>
  <c r="B24" i="25"/>
  <c r="C24" i="25" s="1"/>
  <c r="B21" i="25"/>
  <c r="C21" i="25" s="1"/>
  <c r="D22" i="25"/>
  <c r="D23" i="25"/>
  <c r="D19" i="25"/>
  <c r="C19" i="25" s="1"/>
  <c r="B20" i="25"/>
  <c r="B22" i="25"/>
  <c r="C22" i="25" s="1"/>
  <c r="D20" i="25"/>
  <c r="B23" i="25"/>
  <c r="C23" i="25" s="1"/>
  <c r="C36" i="25"/>
  <c r="C35"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F20"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S36" i="22"/>
  <c r="S33" i="22"/>
  <c r="S32" i="22"/>
  <c r="R32" i="22" s="1"/>
  <c r="S35" i="22"/>
  <c r="S34" i="22"/>
  <c r="Q36" i="22"/>
  <c r="Q34" i="22"/>
  <c r="N37" i="22"/>
  <c r="N35" i="22"/>
  <c r="N33" i="22"/>
  <c r="P32" i="22"/>
  <c r="O32" i="22" s="1"/>
  <c r="P36" i="22"/>
  <c r="P33" i="22"/>
  <c r="N36" i="22"/>
  <c r="P35" i="22"/>
  <c r="P34" i="22"/>
  <c r="N34" i="22"/>
  <c r="P37" i="22"/>
  <c r="R37" i="22" l="1"/>
  <c r="C20" i="25"/>
  <c r="K21" i="25"/>
  <c r="L21" i="25" s="1"/>
  <c r="M20" i="25"/>
  <c r="K23" i="25"/>
  <c r="L23" i="25" s="1"/>
  <c r="K24" i="25"/>
  <c r="M21" i="25"/>
  <c r="K20" i="25"/>
  <c r="L20" i="25" s="1"/>
  <c r="M22" i="25"/>
  <c r="M19" i="25"/>
  <c r="L19" i="25" s="1"/>
  <c r="M24" i="25"/>
  <c r="K22" i="25"/>
  <c r="L22" i="25" s="1"/>
  <c r="M23" i="25"/>
  <c r="I23"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C19" i="22" s="1"/>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L24" i="25" l="1"/>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O21" i="23" s="1"/>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R20" i="23" l="1"/>
  <c r="O20" i="23"/>
  <c r="O22" i="23"/>
  <c r="R23" i="23"/>
  <c r="R19" i="23"/>
  <c r="R21" i="23"/>
  <c r="O23" i="23"/>
  <c r="R22" i="23"/>
  <c r="O19" i="23"/>
</calcChain>
</file>

<file path=xl/sharedStrings.xml><?xml version="1.0" encoding="utf-8"?>
<sst xmlns="http://schemas.openxmlformats.org/spreadsheetml/2006/main" count="1764" uniqueCount="384">
  <si>
    <t>ECE Wage Scale</t>
  </si>
  <si>
    <t>Region 2 - Antrim, Benzie, Charlevoix, Emmet, Grand Traverse, Kalkaska, Leelanau, Manistee, Missaukee, and Wexford Counties</t>
  </si>
  <si>
    <t>September 2023</t>
  </si>
  <si>
    <t>Data Supplement</t>
  </si>
  <si>
    <t>Table of Contents (Click on links)</t>
  </si>
  <si>
    <t>Wage Scale</t>
  </si>
  <si>
    <t>A</t>
  </si>
  <si>
    <t>Systemwide Wage Scale</t>
  </si>
  <si>
    <t>B</t>
  </si>
  <si>
    <t>Notes</t>
  </si>
  <si>
    <t>Lead Teachers</t>
  </si>
  <si>
    <t>Wage Scaling</t>
  </si>
  <si>
    <t>Workforce Demographics</t>
  </si>
  <si>
    <t>C</t>
  </si>
  <si>
    <t>Top Comparable Occupations</t>
  </si>
  <si>
    <t>D</t>
  </si>
  <si>
    <t>Employment and Wage Trends</t>
  </si>
  <si>
    <t>E</t>
  </si>
  <si>
    <t>Occupation Flows</t>
  </si>
  <si>
    <t>F</t>
  </si>
  <si>
    <t>Real-time Demand</t>
  </si>
  <si>
    <t>G</t>
  </si>
  <si>
    <t>Commuting Patterns</t>
  </si>
  <si>
    <t>Assistant Teachers</t>
  </si>
  <si>
    <t xml:space="preserve"> Aide/Floater</t>
  </si>
  <si>
    <t>Substitute Teacher</t>
  </si>
  <si>
    <t>Methodology</t>
  </si>
  <si>
    <t xml:space="preserve">The proposed wage scale benchmarks ECE wages against comparable K-12 roles by setting the Lead Teacher wage on par with the starting salary of a K-12 teacher in Region 2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</si>
  <si>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Proposed - Pay Parity with K-12 Teachers</t>
  </si>
  <si>
    <t>Instructional Staff</t>
  </si>
  <si>
    <t>Current Median Wage</t>
  </si>
  <si>
    <t>Proposed Base Wage</t>
  </si>
  <si>
    <r>
      <t xml:space="preserve">Annual Salary       </t>
    </r>
    <r>
      <rPr>
        <sz val="11"/>
        <rFont val="Arial"/>
        <family val="2"/>
      </rPr>
      <t>(52 weeks)</t>
    </r>
  </si>
  <si>
    <t>ECE I</t>
  </si>
  <si>
    <t>ECE II</t>
  </si>
  <si>
    <t>ECE III</t>
  </si>
  <si>
    <t xml:space="preserve">Explanation for Proposed Base Wage </t>
  </si>
  <si>
    <t>Hourly</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</si>
  <si>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</si>
  <si>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</si>
  <si>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</si>
  <si>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</si>
  <si>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t>P1</t>
  </si>
  <si>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</si>
  <si>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</si>
  <si>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</si>
  <si>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</si>
  <si>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t>Note: All Infant/Toddler instructional roles are 10% more than Preschool roles</t>
  </si>
  <si>
    <t>CDA</t>
  </si>
  <si>
    <t>CDA + Apprenticeship</t>
  </si>
  <si>
    <t>AA</t>
  </si>
  <si>
    <t>AA + Apprenticeship</t>
  </si>
  <si>
    <t>Lead Teacher, Infant-Toddler</t>
  </si>
  <si>
    <t>Median Hourly rate for Step 1 Teacher Salary ($42,194 a year) + 10%</t>
  </si>
  <si>
    <t>Assistant Teacher, Infant-Toddler</t>
  </si>
  <si>
    <t>25% less than Lead Teacher</t>
  </si>
  <si>
    <t>Aide/floater, Infant-Toddler</t>
  </si>
  <si>
    <t>25% less than Assistant Teacher</t>
  </si>
  <si>
    <t>Substitute, Infant-Toddler</t>
  </si>
  <si>
    <t>-</t>
  </si>
  <si>
    <t>Parity with Assistant Teacher, which has similar responsibilities             (10% increase for long-term assignments)</t>
  </si>
  <si>
    <t>Note: All Professional Levels increase by 10% - Infant/Toddler instructional roles are 10% more than Preschool roles</t>
  </si>
  <si>
    <t>Lead Teacher, Preschool</t>
  </si>
  <si>
    <t>Median Hourly rate for Step 1 Teacher Salary ($42,194 a year)</t>
  </si>
  <si>
    <t>Assistant Teacher, Preschool</t>
  </si>
  <si>
    <t>Aide/floater, Preschool</t>
  </si>
  <si>
    <t xml:space="preserve">25% less than Assistant Teacher </t>
  </si>
  <si>
    <t>Substitute, Preschool</t>
  </si>
  <si>
    <t>1B | Systemwide Wage Scale -- Notes</t>
  </si>
  <si>
    <t>How to Use the Proposed Wage Scales</t>
  </si>
  <si>
    <t>Base Wage</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</si>
  <si>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</si>
  <si>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Proposed Models</t>
  </si>
  <si>
    <t xml:space="preserve">The Systemwide Wage Scales is agnostic to setting and so all functional and foundational level have a proposed wage. We recommend that Region 2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</si>
  <si>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</si>
  <si>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</si>
  <si>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</si>
  <si>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</si>
  <si>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</si>
  <si>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</si>
  <si>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</si>
  <si>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</si>
  <si>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</si>
  <si>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</si>
  <si>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</si>
  <si>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</si>
  <si>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</si>
  <si>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</si>
  <si>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</si>
  <si>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</si>
  <si>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</si>
  <si>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</si>
  <si>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</si>
  <si>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</si>
  <si>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</si>
  <si>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</si>
  <si>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</si>
  <si>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</si>
  <si>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</si>
  <si>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F1</t>
  </si>
  <si>
    <t>not applicable</t>
  </si>
  <si>
    <t>P3</t>
  </si>
  <si>
    <t>Varies, but mostly P2/ECE II</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</si>
  <si>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</si>
  <si>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</si>
  <si>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</si>
  <si>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</si>
  <si>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</si>
  <si>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</si>
  <si>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Bachelor’s Degree with at least 18 hours in Early Childhood Education; sometimes requires valid Region 2 teaching certificate</t>
  </si>
  <si>
    <t>High School Diploma and Child Development Associate (CDA) credential</t>
  </si>
  <si>
    <r>
      <t xml:space="preserve">High School Diploma + one college course in Early Childhood Education </t>
    </r>
    <r>
      <rPr>
        <u/>
        <sz val="11"/>
        <color theme="1"/>
        <rFont val="Arial"/>
        <family val="2"/>
      </rPr>
      <t>or</t>
    </r>
    <r>
      <rPr>
        <sz val="11"/>
        <color theme="1"/>
        <rFont val="Arial"/>
        <family val="2"/>
      </rPr>
      <t xml:space="preserve"> 20 hours of training</t>
    </r>
  </si>
  <si>
    <t>Assistant Teacher Minimum Qualifications</t>
  </si>
  <si>
    <t>High School Diploma + Child Development Associate (CDA) credential</t>
  </si>
  <si>
    <t>Childcare Aide Minimum Qualifications</t>
  </si>
  <si>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</si>
  <si>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</si>
  <si>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</si>
  <si>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</si>
  <si>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</si>
  <si>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</si>
  <si>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</si>
  <si>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</si>
  <si>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</si>
  <si>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</si>
  <si>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Typically negotiated through a union contract. However, less than half of School-based teachers are covered by a contract.</t>
  </si>
  <si>
    <t xml:space="preserve">Decided by the leadership of the private for-profit business, nonprofit, or faith-based organization.  </t>
  </si>
  <si>
    <t xml:space="preserve">Decided by the owner.  </t>
  </si>
  <si>
    <t>2A | Lead Teacher -- Proposed Wage Scaling</t>
  </si>
  <si>
    <r>
      <t xml:space="preserve">P1 </t>
    </r>
    <r>
      <rPr>
        <i/>
        <sz val="11"/>
        <color rgb="FFFFFFFF"/>
        <rFont val="Arial"/>
        <family val="2"/>
      </rPr>
      <t>CDA</t>
    </r>
  </si>
  <si>
    <t>Years in Lane</t>
  </si>
  <si>
    <t>HSE</t>
  </si>
  <si>
    <t>BA</t>
  </si>
  <si>
    <t>MA</t>
  </si>
  <si>
    <t>Ed.D. or Ph.D.</t>
  </si>
  <si>
    <t>Hourly Wage Increments</t>
  </si>
  <si>
    <t>Proposed Pay Scale for Lead Teacher, Infant-Toddler</t>
  </si>
  <si>
    <t>Years of Experience</t>
  </si>
  <si>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</si>
  <si>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</si>
  <si>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</si>
  <si>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t>Min</t>
  </si>
  <si>
    <t>Median</t>
  </si>
  <si>
    <t>Max</t>
  </si>
  <si>
    <t>0-3 Years</t>
  </si>
  <si>
    <t>4-6 Years</t>
  </si>
  <si>
    <t>7-9 Years</t>
  </si>
  <si>
    <t>10-12 Years</t>
  </si>
  <si>
    <t>13-15 Years</t>
  </si>
  <si>
    <t>16+ Years</t>
  </si>
  <si>
    <t>Proposed Pay Scale for Lead Teacher, Preschool</t>
  </si>
  <si>
    <t>F1, F2, F3 HSE</t>
  </si>
  <si>
    <r>
      <t xml:space="preserve">P5 </t>
    </r>
    <r>
      <rPr>
        <i/>
        <sz val="11"/>
        <color rgb="FFFFFFFF"/>
        <rFont val="Arial"/>
        <family val="2"/>
      </rPr>
      <t>Ed.D. or Ph.D</t>
    </r>
  </si>
  <si>
    <t>2B | Lead Teacher -- Workforce Demographics</t>
  </si>
  <si>
    <t>Age Distribution, Region 2, 2022</t>
  </si>
  <si>
    <t>Education, Region 2, 2022</t>
  </si>
  <si>
    <t>Racial/Ethnic Distribution, Region 2, 2022</t>
  </si>
  <si>
    <t>Gender Distribution, Region 2, 2022</t>
  </si>
  <si>
    <t>Age</t>
  </si>
  <si>
    <t>Jobs</t>
  </si>
  <si>
    <t>Percentage</t>
  </si>
  <si>
    <t>Race/Ethnicity</t>
  </si>
  <si>
    <t>Gender</t>
  </si>
  <si>
    <t>14-18</t>
  </si>
  <si>
    <t>Less than high school</t>
  </si>
  <si>
    <t>White</t>
  </si>
  <si>
    <t>Males</t>
  </si>
  <si>
    <t>19-24</t>
  </si>
  <si>
    <t>High school</t>
  </si>
  <si>
    <t>Black/African American</t>
  </si>
  <si>
    <t>Females</t>
  </si>
  <si>
    <t>25-34</t>
  </si>
  <si>
    <t>Some college</t>
  </si>
  <si>
    <t>Hispanic/Latino (any race)</t>
  </si>
  <si>
    <t>35-44</t>
  </si>
  <si>
    <t>Associate's degree</t>
  </si>
  <si>
    <t>Two or More Races</t>
  </si>
  <si>
    <t>45-54</t>
  </si>
  <si>
    <t>Bachelor's degree</t>
  </si>
  <si>
    <t>Asian</t>
  </si>
  <si>
    <t>55-64</t>
  </si>
  <si>
    <t>Master's degree</t>
  </si>
  <si>
    <t>American Indian/Alaska Native</t>
  </si>
  <si>
    <t>65+</t>
  </si>
  <si>
    <t>Doctoral or professional degree</t>
  </si>
  <si>
    <t>Native Hawaiian/Other Pacific Islander</t>
  </si>
  <si>
    <t>2C | Lead Teacher -- Top Comparable Occupations</t>
  </si>
  <si>
    <t>Top Comparable Roles, Lead Teacher</t>
  </si>
  <si>
    <t>Occupation</t>
  </si>
  <si>
    <t>Share of overlapping skills</t>
  </si>
  <si>
    <t>Median Hourly Wage, 2022</t>
  </si>
  <si>
    <t>Difference from  Lead Teacher Wage</t>
  </si>
  <si>
    <r>
      <t xml:space="preserve">Employment Growth            </t>
    </r>
    <r>
      <rPr>
        <sz val="10"/>
        <color theme="0"/>
        <rFont val="Arial"/>
        <family val="2"/>
      </rPr>
      <t>(2001-2022)</t>
    </r>
  </si>
  <si>
    <r>
      <t xml:space="preserve">Median Hourly Wage Growth </t>
    </r>
    <r>
      <rPr>
        <sz val="10"/>
        <color theme="0"/>
        <rFont val="Arial"/>
        <family val="2"/>
      </rPr>
      <t>(2005-2022)</t>
    </r>
  </si>
  <si>
    <t>#</t>
  </si>
  <si>
    <t>%</t>
  </si>
  <si>
    <t>Lead Teacher</t>
  </si>
  <si>
    <t>Kindergarten Teacher</t>
  </si>
  <si>
    <t>Self-Enrichment Teacher</t>
  </si>
  <si>
    <t>Bank Teller</t>
  </si>
  <si>
    <t>Psychiatric Aide</t>
  </si>
  <si>
    <t>Office Clerk</t>
  </si>
  <si>
    <t>Lead Teacher, Employment Trends, Region 2 (2001-2022)</t>
  </si>
  <si>
    <t>Lead Teacher, Employment Growth, Region 2 (Indexed to 2001)</t>
  </si>
  <si>
    <t>Lead Teacher, Growth in Median Hourly Earnings, Region 2 (2005-2022)</t>
  </si>
  <si>
    <t>Lead Teacher, Median Hourly Wage Growth, Region 2 (Indexed to 2005)</t>
  </si>
  <si>
    <t>2E | Lead Teacher -- Occupation Flows</t>
  </si>
  <si>
    <t>Top Preceeding and Superseding Occupations, Region 2, 2022</t>
  </si>
  <si>
    <t>Previous</t>
  </si>
  <si>
    <t>Following</t>
  </si>
  <si>
    <t xml:space="preserve"> Occupation</t>
  </si>
  <si>
    <t>Preschool Teachers</t>
  </si>
  <si>
    <t>Teaching Assistants</t>
  </si>
  <si>
    <t>Postsecondary Teachers</t>
  </si>
  <si>
    <t>Social and Human Service Assistants</t>
  </si>
  <si>
    <t>Managers</t>
  </si>
  <si>
    <t>Secondary School Teachers</t>
  </si>
  <si>
    <t>Elementary School Teachers</t>
  </si>
  <si>
    <t>Childcare Workers</t>
  </si>
  <si>
    <t>Secretaries and Admin. Assistants</t>
  </si>
  <si>
    <t>Customer Service Representatives</t>
  </si>
  <si>
    <t>Retail Salespersons</t>
  </si>
  <si>
    <t>Supervisors of Office and Admin. Support Occupations</t>
  </si>
  <si>
    <t>2D | Lead Teacher -- Employment and Wage Trends</t>
  </si>
  <si>
    <t>Lead Teacher, Employment Trends (2001-2022)</t>
  </si>
  <si>
    <t>Region 2</t>
  </si>
  <si>
    <t>Michigan</t>
  </si>
  <si>
    <t>United States</t>
  </si>
  <si>
    <t>Lead Teacher, Employment Growth (Indexed to 2001)</t>
  </si>
  <si>
    <t>Lead Teacher (Average of Infant-Toddler and Preschool), Growth in Median Hourly Earnings (2005-2022)</t>
  </si>
  <si>
    <t>Lead Teacher (Average of Infant-Toddler and Preschool), Median Hourly Wage Growth (Indexed to 2005)</t>
  </si>
  <si>
    <t xml:space="preserve">Region 2 </t>
  </si>
  <si>
    <t>2F | Lead Teacher -- Real-time Demand</t>
  </si>
  <si>
    <t>Online Ads and Median Wages, Lead Teacher, Region 2</t>
  </si>
  <si>
    <t>Top Posting Employers, Lead Teacher, Region 2 (Jan. 2022 - Jul. 2023)</t>
  </si>
  <si>
    <t>Date</t>
  </si>
  <si>
    <t>Job Postings</t>
  </si>
  <si>
    <t>Median Advertised Wage</t>
  </si>
  <si>
    <t>Employer</t>
  </si>
  <si>
    <t>Online Postings</t>
  </si>
  <si>
    <t>Median Posting Duration</t>
  </si>
  <si>
    <t>N/A</t>
  </si>
  <si>
    <t>43 days</t>
  </si>
  <si>
    <t>n/a</t>
  </si>
  <si>
    <t>32 days</t>
  </si>
  <si>
    <t>2G | Lead Teacher -- Commuting Patterns</t>
  </si>
  <si>
    <t>3A | Assistant Teacher -- Proposed Wage Scaling</t>
  </si>
  <si>
    <t>Proposed Pay Scale for Assistant Teacher, Infant-Toddler</t>
  </si>
  <si>
    <t>Proposed Pay Scale for Assistant Teacher, Preschool</t>
  </si>
  <si>
    <t>3B | Assistant Teacher -- Workforce Demographics</t>
  </si>
  <si>
    <t>3C | Assistant Teacher -- Top Comparable Occupations</t>
  </si>
  <si>
    <t>Top Comparable Roles, Assistant Teacher</t>
  </si>
  <si>
    <t xml:space="preserve">Difference from Assistant Teacher Wage            </t>
  </si>
  <si>
    <t>Assistant Teacher</t>
  </si>
  <si>
    <t>Tutor</t>
  </si>
  <si>
    <t>Administrative Assistant</t>
  </si>
  <si>
    <t>Customer Service Representative</t>
  </si>
  <si>
    <t>Assistant Teacher, Employment Trends, Region 2 (2001-2022)</t>
  </si>
  <si>
    <t>Assistant Teacher, Employment Growth, Region 2 (Indexed to 2001)</t>
  </si>
  <si>
    <t>Assistant Teacher, Growth in Median Hourly Earnings, Region 2 (2005-2022)</t>
  </si>
  <si>
    <t>Assistant Teacher, Median Hourly Wage Growth, Region 2 (Indexed to 2005)</t>
  </si>
  <si>
    <t>3D | Assistant Teacher -- Employment and Wage Trends</t>
  </si>
  <si>
    <t>Assistant Teacher, Employment Trends (2001-2022)</t>
  </si>
  <si>
    <t>Assistant Teacher, Employment Growth (Indexed to 2001)</t>
  </si>
  <si>
    <t>Assistant Teacher, Growth in Median Hourly Earnings (2005-2022)</t>
  </si>
  <si>
    <t>Assistant Teacher, Median Hourly Wage Growth (Indexed to 2005)</t>
  </si>
  <si>
    <t>3E | Assistant Teacher -- Occupation Flows</t>
  </si>
  <si>
    <t>Top Preceeding and Superseding Occupations, Region 2</t>
  </si>
  <si>
    <t>Life, Physical, and Social Science Technicians</t>
  </si>
  <si>
    <t>Software Developers</t>
  </si>
  <si>
    <t>Teaching Assistants, Postsecondary</t>
  </si>
  <si>
    <t>Tutors</t>
  </si>
  <si>
    <t>3F | Assistant Teacher -- Real-time Demand</t>
  </si>
  <si>
    <t>Online Ads and Median Wages, Assistant Teacher, Region 2</t>
  </si>
  <si>
    <t>Top Posting Employers, Assistant Teacher, Region 2 (Jan. 2022 - Jul. 2023)</t>
  </si>
  <si>
    <t>41 days</t>
  </si>
  <si>
    <t>37 days</t>
  </si>
  <si>
    <t>3G | Assistant Teacher -- Commuting Patterns</t>
  </si>
  <si>
    <t>4A | Aide/Floater -- Proposed Wage Scaling</t>
  </si>
  <si>
    <t>Aide/Floater, Infant-Toddler</t>
  </si>
  <si>
    <t>Proposed Pay Scale for Aide/Floater, Infant-Toddler</t>
  </si>
  <si>
    <t>Proposed Pay Scale for Aide/Floater, Preschool</t>
  </si>
  <si>
    <t>4B | Aide/Floater -- Workforce Demographics</t>
  </si>
  <si>
    <t>4C | Aide/Floater -- Top Comparable Occupations</t>
  </si>
  <si>
    <t>Top Comparable Roles, Aide/Floater</t>
  </si>
  <si>
    <t xml:space="preserve">Difference from Aide/Floater Wage            </t>
  </si>
  <si>
    <t>Aide/Floater</t>
  </si>
  <si>
    <t>Home Health and Personal Care Aide</t>
  </si>
  <si>
    <t>Library Assistant</t>
  </si>
  <si>
    <t>Waiter/Waitress</t>
  </si>
  <si>
    <t>Library Technician</t>
  </si>
  <si>
    <t>Aide/Floater, Employment Trends, Region 2 (2001-2022)</t>
  </si>
  <si>
    <t>Aide/Floater, Employment Growth, Region 2 (Indexed to 2001)</t>
  </si>
  <si>
    <t>Aide/Floater, Growth in Median Hourly Earnings, Region 2 (2005-2022)</t>
  </si>
  <si>
    <t>Aide/Floater, Median Hourly Wage Growth, Region 2 (Indexed to 2005)</t>
  </si>
  <si>
    <t>4D | Aide/Floater -- Employment and Wage Trends</t>
  </si>
  <si>
    <t>Aide/Floater, Employment Trends (2001-2022)</t>
  </si>
  <si>
    <t>Aide/Floater, Employment Growth (Indexed to 2001)</t>
  </si>
  <si>
    <t>Aide/Floater, Growth in Median Hourly Earnings (2005-2022)</t>
  </si>
  <si>
    <t>Aide/Floater, Median Hourly Wage Growth (Indexed to 2005)</t>
  </si>
  <si>
    <t>4E | Aide/Floater -- Occupation Flows</t>
  </si>
  <si>
    <t>Waiters and Waitresses</t>
  </si>
  <si>
    <t>Teaching Assistants, Except Postsecondary</t>
  </si>
  <si>
    <t>Recreation Workers</t>
  </si>
  <si>
    <t>Cashiers</t>
  </si>
  <si>
    <t>Registered Nurses</t>
  </si>
  <si>
    <t>Fast Food and Counter Workers</t>
  </si>
  <si>
    <t>4F | Aide/Floater -- Real-time Demand</t>
  </si>
  <si>
    <t>Online Ads and Median Wages, Aide/Floater, Region 2</t>
  </si>
  <si>
    <t>Top Posting Employers, Aide/Floater, Region 2 (Jan. 2022 - Jul. 2023)</t>
  </si>
  <si>
    <t>Care Group</t>
  </si>
  <si>
    <t>40 days</t>
  </si>
  <si>
    <t>23 days</t>
  </si>
  <si>
    <t>36 days</t>
  </si>
  <si>
    <t>4G | Aide/Floater -- Commuting Patterns</t>
  </si>
  <si>
    <t>5A | Substitute -- Proposed Wage Scaling</t>
  </si>
  <si>
    <t xml:space="preserve">- </t>
  </si>
  <si>
    <t>Proposed Pay Scale for Substitute, Infant-Toddler</t>
  </si>
  <si>
    <t>Proposed Pay Scale for Substitute, Preschool</t>
  </si>
  <si>
    <t>5B | Substitute -- Workforce Demographics</t>
  </si>
  <si>
    <t>5C | Substitute -- Top Comparable Occupations</t>
  </si>
  <si>
    <t>Top Comparable Roles, Substitute</t>
  </si>
  <si>
    <t xml:space="preserve">Difference from Substitute Wage            </t>
  </si>
  <si>
    <t>Substitute</t>
  </si>
  <si>
    <t>Substitute, Employment Trends, Region 2 (2001-2022)</t>
  </si>
  <si>
    <t>Substitute, Employment Growth, Region 2 (Indexed to 2001)</t>
  </si>
  <si>
    <t>Substitute, Growth in Median Hourly Earnings, Region 2 (2005-2022)</t>
  </si>
  <si>
    <t>Substitute, Median Hourly Wage Growth, Region 2 (Indexed to 2005)</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</si>
  <si>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</si>
  <si>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</si>
  <si>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</si>
  <si>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</si>
  <si>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</si>
  <si>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</si>
  <si>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Teachers and Instructors</t>
  </si>
  <si>
    <t>Coaches and Scouts</t>
  </si>
  <si>
    <t>Middle School Teachers</t>
  </si>
  <si>
    <t>5F | Substitute -- Real-time Demand</t>
  </si>
  <si>
    <t>Online Ads and Median Wages, Substitute, Region 2</t>
  </si>
  <si>
    <t>Top Posting Employers, Substitute, Region 2 (Jan. 2022 - Jul. 2023)</t>
  </si>
  <si>
    <t>Ess</t>
  </si>
  <si>
    <t>5G | Substitute -- Commuting Patterns</t>
  </si>
  <si>
    <t xml:space="preserve">N/A </t>
  </si>
  <si>
    <t>Northwest Michigan Community Action Agency</t>
  </si>
  <si>
    <t>Munson Healthcare</t>
  </si>
  <si>
    <t>Traverse City Area Public Schools</t>
  </si>
  <si>
    <t>Charlevoix-emmet Isd</t>
  </si>
  <si>
    <t>Benzie Central Schools</t>
  </si>
  <si>
    <t>Public Schools Of Petoskey</t>
  </si>
  <si>
    <t>20 days</t>
  </si>
  <si>
    <t>28 days</t>
  </si>
  <si>
    <t>35 days</t>
  </si>
  <si>
    <t>34 days</t>
  </si>
  <si>
    <t>Northwest Education Services</t>
  </si>
  <si>
    <t xml:space="preserve">Waiters and  Waiteresses </t>
  </si>
  <si>
    <t>Boyne Resorts</t>
  </si>
  <si>
    <t>Big Sky Resort</t>
  </si>
  <si>
    <t>Papas Place Adult Day Care</t>
  </si>
  <si>
    <t>Christina Evans</t>
  </si>
  <si>
    <t>27 days</t>
  </si>
  <si>
    <t>33 days</t>
  </si>
  <si>
    <t>Silver Lake Elementary School</t>
  </si>
  <si>
    <t>Solutionwhere</t>
  </si>
  <si>
    <t>Courtade Elementary School</t>
  </si>
  <si>
    <t>Central High School</t>
  </si>
  <si>
    <t>Tcaps Montessori School</t>
  </si>
  <si>
    <t>Onekama Consolidated Schools</t>
  </si>
  <si>
    <t>Eastern Elementary School</t>
  </si>
  <si>
    <t>19 days</t>
  </si>
  <si>
    <t>58 days</t>
  </si>
  <si>
    <t>Rover</t>
  </si>
  <si>
    <t>Comfort Keepers</t>
  </si>
  <si>
    <t>52 days</t>
  </si>
  <si>
    <t>Willow Hill Elementary School</t>
  </si>
  <si>
    <t>Blair Elementary School</t>
  </si>
  <si>
    <t>44 days</t>
  </si>
  <si>
    <t>54 days</t>
  </si>
  <si>
    <t>Buckley Community Schools</t>
  </si>
  <si>
    <t>Northern Lakes Community Church</t>
  </si>
  <si>
    <t>Nmcca</t>
  </si>
  <si>
    <t>Boyne City Public Schools</t>
  </si>
  <si>
    <t>56 days</t>
  </si>
  <si>
    <t>Number of Occupations</t>
  </si>
  <si>
    <t>Number of Ocuupations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</si>
</sst>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3" fillId="17" borderId="39" xfId="0" applyFont="1" applyFill="1" applyBorder="1" applyAlignment="1">
      <alignment vertical="center"/>
    </xf>
    <xf numFmtId="9" fontId="0" fillId="0" borderId="0" xfId="3" applyFont="1"/>
    <xf numFmtId="7" fontId="0" fillId="0" borderId="0" xfId="0" applyNumberFormat="1"/>
    <xf numFmtId="0" fontId="38" fillId="0" borderId="0" xfId="0" applyFont="1"/>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3" fillId="5" borderId="0" xfId="0" applyFont="1" applyFill="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DCDCDC"/>
      <color rgb="FF003E51"/>
      <color rgb="FFD45D00"/>
      <color rgb="FFA2AE74"/>
      <color rgb="FF605677"/>
      <color rgb="FF60605B"/>
      <color rgb="FF5E82A3"/>
      <color rgb="FF609191"/>
      <color rgb="FF204354"/>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 Id="rId4" Type="http://schemas.openxmlformats.org/officeDocument/2006/relationships/chartUserShapes" Target="../drawings/drawing24.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6.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7.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22.07415120295061</c:v>
                </c:pt>
                <c:pt idx="1">
                  <c:v>22.626004983024373</c:v>
                </c:pt>
                <c:pt idx="2">
                  <c:v>23.191655107599981</c:v>
                </c:pt>
                <c:pt idx="3">
                  <c:v>23.771446485289978</c:v>
                </c:pt>
                <c:pt idx="4">
                  <c:v>24.365732647422224</c:v>
                </c:pt>
                <c:pt idx="5">
                  <c:v>24.974875963607776</c:v>
                </c:pt>
                <c:pt idx="6">
                  <c:v>25.599247862697968</c:v>
                </c:pt>
                <c:pt idx="7">
                  <c:v>26.239229059265416</c:v>
                </c:pt>
                <c:pt idx="8">
                  <c:v>26.895209785747049</c:v>
                </c:pt>
                <c:pt idx="9">
                  <c:v>27.567590030390722</c:v>
                </c:pt>
                <c:pt idx="10">
                  <c:v>28.256779781150488</c:v>
                </c:pt>
                <c:pt idx="11">
                  <c:v>28.963199275679248</c:v>
                </c:pt>
                <c:pt idx="12">
                  <c:v>29.687279257571227</c:v>
                </c:pt>
                <c:pt idx="13">
                  <c:v>30.429461239010504</c:v>
                </c:pt>
                <c:pt idx="14">
                  <c:v>31.190197769985765</c:v>
                </c:pt>
                <c:pt idx="15">
                  <c:v>31.969952714235408</c:v>
                </c:pt>
                <c:pt idx="16">
                  <c:v>32.769201532091287</c:v>
                </c:pt>
                <c:pt idx="17">
                  <c:v>33.588431570393567</c:v>
                </c:pt>
                <c:pt idx="18">
                  <c:v>34.4281423596534</c:v>
                </c:pt>
                <c:pt idx="19">
                  <c:v>35.288845918644732</c:v>
                </c:pt>
                <c:pt idx="20">
                  <c:v>36.171067066610846</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27.627023809523809</c:v>
                </c:pt>
                <c:pt idx="1">
                  <c:v>28.317699404761903</c:v>
                </c:pt>
                <c:pt idx="2">
                  <c:v>29.025641889880948</c:v>
                </c:pt>
                <c:pt idx="3">
                  <c:v>29.751282937127968</c:v>
                </c:pt>
                <c:pt idx="4">
                  <c:v>30.495065010556164</c:v>
                </c:pt>
                <c:pt idx="5">
                  <c:v>31.257441635820065</c:v>
                </c:pt>
                <c:pt idx="6">
                  <c:v>32.038877676715565</c:v>
                </c:pt>
                <c:pt idx="7">
                  <c:v>32.839849618633451</c:v>
                </c:pt>
                <c:pt idx="8">
                  <c:v>33.660845859099283</c:v>
                </c:pt>
                <c:pt idx="9">
                  <c:v>34.502367005576758</c:v>
                </c:pt>
                <c:pt idx="10">
                  <c:v>35.364926180716175</c:v>
                </c:pt>
                <c:pt idx="11">
                  <c:v>36.249049335234076</c:v>
                </c:pt>
                <c:pt idx="12">
                  <c:v>37.155275568614925</c:v>
                </c:pt>
                <c:pt idx="13">
                  <c:v>38.084157457830294</c:v>
                </c:pt>
                <c:pt idx="14">
                  <c:v>39.036261394276046</c:v>
                </c:pt>
                <c:pt idx="15">
                  <c:v>40.012167929132943</c:v>
                </c:pt>
                <c:pt idx="16">
                  <c:v>41.012472127361264</c:v>
                </c:pt>
                <c:pt idx="17">
                  <c:v>42.037783930545288</c:v>
                </c:pt>
                <c:pt idx="18">
                  <c:v>43.088728528808915</c:v>
                </c:pt>
                <c:pt idx="19">
                  <c:v>44.165946742029135</c:v>
                </c:pt>
                <c:pt idx="20">
                  <c:v>45.270095410579856</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30.389726190476193</c:v>
                </c:pt>
                <c:pt idx="1">
                  <c:v>31.149469345238096</c:v>
                </c:pt>
                <c:pt idx="2">
                  <c:v>31.928206078869046</c:v>
                </c:pt>
                <c:pt idx="3">
                  <c:v>32.726411230840768</c:v>
                </c:pt>
                <c:pt idx="4">
                  <c:v>33.544571511611785</c:v>
                </c:pt>
                <c:pt idx="5">
                  <c:v>34.383185799402078</c:v>
                </c:pt>
                <c:pt idx="6">
                  <c:v>35.242765444387125</c:v>
                </c:pt>
                <c:pt idx="7">
                  <c:v>36.123834580496798</c:v>
                </c:pt>
                <c:pt idx="8">
                  <c:v>37.026930445009214</c:v>
                </c:pt>
                <c:pt idx="9">
                  <c:v>37.95260370613444</c:v>
                </c:pt>
                <c:pt idx="10">
                  <c:v>38.901418798787795</c:v>
                </c:pt>
                <c:pt idx="11">
                  <c:v>39.873954268757487</c:v>
                </c:pt>
                <c:pt idx="12">
                  <c:v>40.870803125476421</c:v>
                </c:pt>
                <c:pt idx="13">
                  <c:v>41.892573203613331</c:v>
                </c:pt>
                <c:pt idx="14">
                  <c:v>42.939887533703661</c:v>
                </c:pt>
                <c:pt idx="15">
                  <c:v>44.013384722046247</c:v>
                </c:pt>
                <c:pt idx="16">
                  <c:v>45.113719340097397</c:v>
                </c:pt>
                <c:pt idx="17">
                  <c:v>46.24156232359983</c:v>
                </c:pt>
                <c:pt idx="18">
                  <c:v>47.397601381689825</c:v>
                </c:pt>
                <c:pt idx="19">
                  <c:v>48.582541416232068</c:v>
                </c:pt>
                <c:pt idx="20">
                  <c:v>49.797104951637863</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33.428698809523816</c:v>
                </c:pt>
                <c:pt idx="1">
                  <c:v>34.26441627976191</c:v>
                </c:pt>
                <c:pt idx="2">
                  <c:v>35.121026686755954</c:v>
                </c:pt>
                <c:pt idx="3">
                  <c:v>35.999052353924853</c:v>
                </c:pt>
                <c:pt idx="4">
                  <c:v>36.89902866277297</c:v>
                </c:pt>
                <c:pt idx="5">
                  <c:v>37.821504379342294</c:v>
                </c:pt>
                <c:pt idx="6">
                  <c:v>38.767041988825845</c:v>
                </c:pt>
                <c:pt idx="7">
                  <c:v>39.73621803854649</c:v>
                </c:pt>
                <c:pt idx="8">
                  <c:v>40.729623489510146</c:v>
                </c:pt>
                <c:pt idx="9">
                  <c:v>41.747864076747895</c:v>
                </c:pt>
                <c:pt idx="10">
                  <c:v>42.791560678666592</c:v>
                </c:pt>
                <c:pt idx="11">
                  <c:v>43.861349695633251</c:v>
                </c:pt>
                <c:pt idx="12">
                  <c:v>44.957883438024076</c:v>
                </c:pt>
                <c:pt idx="13">
                  <c:v>46.081830523974673</c:v>
                </c:pt>
                <c:pt idx="14">
                  <c:v>47.23387628707404</c:v>
                </c:pt>
                <c:pt idx="15">
                  <c:v>48.41472319425089</c:v>
                </c:pt>
                <c:pt idx="16">
                  <c:v>49.625091274107156</c:v>
                </c:pt>
                <c:pt idx="17">
                  <c:v>50.86571855595983</c:v>
                </c:pt>
                <c:pt idx="18">
                  <c:v>52.137361519858821</c:v>
                </c:pt>
                <c:pt idx="19">
                  <c:v>53.440795557855289</c:v>
                </c:pt>
                <c:pt idx="20">
                  <c:v>54.776815446801663</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36.771568690476201</c:v>
                </c:pt>
                <c:pt idx="1">
                  <c:v>37.690857907738099</c:v>
                </c:pt>
                <c:pt idx="2">
                  <c:v>38.633129355431549</c:v>
                </c:pt>
                <c:pt idx="3">
                  <c:v>39.598957589317337</c:v>
                </c:pt>
                <c:pt idx="4">
                  <c:v>40.588931529050264</c:v>
                </c:pt>
                <c:pt idx="5">
                  <c:v>41.603654817276514</c:v>
                </c:pt>
                <c:pt idx="6">
                  <c:v>42.643746187708423</c:v>
                </c:pt>
                <c:pt idx="7">
                  <c:v>43.709839842401131</c:v>
                </c:pt>
                <c:pt idx="8">
                  <c:v>44.802585838461155</c:v>
                </c:pt>
                <c:pt idx="9">
                  <c:v>45.922650484422682</c:v>
                </c:pt>
                <c:pt idx="10">
                  <c:v>47.070716746533243</c:v>
                </c:pt>
                <c:pt idx="11">
                  <c:v>48.247484665196573</c:v>
                </c:pt>
                <c:pt idx="12">
                  <c:v>49.453671781826486</c:v>
                </c:pt>
                <c:pt idx="13">
                  <c:v>50.690013576372145</c:v>
                </c:pt>
                <c:pt idx="14">
                  <c:v>51.957263915781446</c:v>
                </c:pt>
                <c:pt idx="15">
                  <c:v>53.256195513675976</c:v>
                </c:pt>
                <c:pt idx="16">
                  <c:v>54.587600401517868</c:v>
                </c:pt>
                <c:pt idx="17">
                  <c:v>55.952290411555808</c:v>
                </c:pt>
                <c:pt idx="18">
                  <c:v>57.351097671844698</c:v>
                </c:pt>
                <c:pt idx="19">
                  <c:v>58.784875113640808</c:v>
                </c:pt>
                <c:pt idx="20">
                  <c:v>60.254496991481822</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40.448725559523822</c:v>
                </c:pt>
                <c:pt idx="1">
                  <c:v>41.459943698511914</c:v>
                </c:pt>
                <c:pt idx="2">
                  <c:v>42.496442290974706</c:v>
                </c:pt>
                <c:pt idx="3">
                  <c:v>43.558853348249066</c:v>
                </c:pt>
                <c:pt idx="4">
                  <c:v>44.647824681955292</c:v>
                </c:pt>
                <c:pt idx="5">
                  <c:v>45.764020299004173</c:v>
                </c:pt>
                <c:pt idx="6">
                  <c:v>46.908120806479275</c:v>
                </c:pt>
                <c:pt idx="7">
                  <c:v>48.08082382664125</c:v>
                </c:pt>
                <c:pt idx="8">
                  <c:v>49.282844422307278</c:v>
                </c:pt>
                <c:pt idx="9">
                  <c:v>50.514915532864954</c:v>
                </c:pt>
                <c:pt idx="10">
                  <c:v>51.777788421186571</c:v>
                </c:pt>
                <c:pt idx="11">
                  <c:v>53.072233131716231</c:v>
                </c:pt>
                <c:pt idx="12">
                  <c:v>54.399038960009129</c:v>
                </c:pt>
                <c:pt idx="13">
                  <c:v>55.75901493400935</c:v>
                </c:pt>
                <c:pt idx="14">
                  <c:v>57.15299030735958</c:v>
                </c:pt>
                <c:pt idx="15">
                  <c:v>58.581815065043564</c:v>
                </c:pt>
                <c:pt idx="16">
                  <c:v>60.046360441669648</c:v>
                </c:pt>
                <c:pt idx="17">
                  <c:v>61.547519452711384</c:v>
                </c:pt>
                <c:pt idx="18">
                  <c:v>63.086207439029167</c:v>
                </c:pt>
                <c:pt idx="19">
                  <c:v>64.663362625004893</c:v>
                </c:pt>
                <c:pt idx="20">
                  <c:v>66.279946690630013</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294117647059E-2"/>
          <c:y val="0.12875672557279116"/>
          <c:w val="0.92244606147097785"/>
          <c:h val="0.81976433796839221"/>
        </c:manualLayout>
      </c:layout>
      <c:lineChart>
        <c:grouping val="standard"/>
        <c:varyColors val="0"/>
        <c:ser>
          <c:idx val="0"/>
          <c:order val="0"/>
          <c:tx>
            <c:strRef>
              <c:f>'2D'!$A$25</c:f>
              <c:strCache>
                <c:ptCount val="1"/>
                <c:pt idx="0">
                  <c:v>Region 2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0.41802388707926158</c:v>
                </c:pt>
                <c:pt idx="2">
                  <c:v>0.37459283387622139</c:v>
                </c:pt>
                <c:pt idx="3">
                  <c:v>8.2519001085776297E-2</c:v>
                </c:pt>
                <c:pt idx="4">
                  <c:v>0.34527687296416931</c:v>
                </c:pt>
                <c:pt idx="5">
                  <c:v>0.39196525515743746</c:v>
                </c:pt>
                <c:pt idx="6">
                  <c:v>0.47557003257328972</c:v>
                </c:pt>
                <c:pt idx="7">
                  <c:v>0.59174809989142219</c:v>
                </c:pt>
                <c:pt idx="8">
                  <c:v>0.30293159609120507</c:v>
                </c:pt>
                <c:pt idx="9">
                  <c:v>0.67209554831704654</c:v>
                </c:pt>
                <c:pt idx="10">
                  <c:v>0.48859934853420189</c:v>
                </c:pt>
                <c:pt idx="11">
                  <c:v>0.59283387622149819</c:v>
                </c:pt>
                <c:pt idx="12">
                  <c:v>0.70358306188925057</c:v>
                </c:pt>
                <c:pt idx="13">
                  <c:v>0.90336590662323557</c:v>
                </c:pt>
                <c:pt idx="14">
                  <c:v>0.84256243213897908</c:v>
                </c:pt>
                <c:pt idx="15">
                  <c:v>0.81867535287730708</c:v>
                </c:pt>
                <c:pt idx="16">
                  <c:v>0.5960912052117262</c:v>
                </c:pt>
                <c:pt idx="17">
                  <c:v>0.58523344191096616</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0.20699999999999999</c:v>
                </c:pt>
                <c:pt idx="1">
                  <c:v>0.13200000000000001</c:v>
                </c:pt>
                <c:pt idx="2">
                  <c:v>8.3000000000000004E-2</c:v>
                </c:pt>
                <c:pt idx="3">
                  <c:v>7.8E-2</c:v>
                </c:pt>
                <c:pt idx="4">
                  <c:v>6.7900000000000002E-2</c:v>
                </c:pt>
                <c:pt idx="5">
                  <c:v>6.6900000000000001E-2</c:v>
                </c:pt>
                <c:pt idx="6">
                  <c:v>6.6570000000000004E-2</c:v>
                </c:pt>
                <c:pt idx="7">
                  <c:v>6.6299999999999998E-2</c:v>
                </c:pt>
                <c:pt idx="8">
                  <c:v>6.5600000000000006E-2</c:v>
                </c:pt>
                <c:pt idx="9">
                  <c:v>6.0229999999999999E-2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0.14130000000000001</c:v>
                </c:pt>
                <c:pt idx="2">
                  <c:v>0.1195</c:v>
                </c:pt>
                <c:pt idx="3">
                  <c:v>0.1011</c:v>
                </c:pt>
                <c:pt idx="4">
                  <c:v>9.7339999999999996E-2</c:v>
                </c:pt>
                <c:pt idx="5">
                  <c:v>9.1399999999999995E-2</c:v>
                </c:pt>
                <c:pt idx="6">
                  <c:v>8.9139999999999997E-2</c:v>
                </c:pt>
                <c:pt idx="7">
                  <c:v>7.17E-2</c:v>
                </c:pt>
                <c:pt idx="8">
                  <c:v>6.9199999999999998E-2</c:v>
                </c:pt>
                <c:pt idx="9">
                  <c:v>6.8699999999999997E-2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5</c:v>
                </c:pt>
                <c:pt idx="1">
                  <c:v>0</c:v>
                </c:pt>
                <c:pt idx="2">
                  <c:v>1</c:v>
                </c:pt>
                <c:pt idx="3">
                  <c:v>2</c:v>
                </c:pt>
                <c:pt idx="4">
                  <c:v>4</c:v>
                </c:pt>
                <c:pt idx="5">
                  <c:v>1</c:v>
                </c:pt>
                <c:pt idx="6">
                  <c:v>6</c:v>
                </c:pt>
                <c:pt idx="7">
                  <c:v>3</c:v>
                </c:pt>
                <c:pt idx="8">
                  <c:v>2</c:v>
                </c:pt>
                <c:pt idx="9">
                  <c:v>4</c:v>
                </c:pt>
                <c:pt idx="10">
                  <c:v>6</c:v>
                </c:pt>
                <c:pt idx="11">
                  <c:v>5</c:v>
                </c:pt>
                <c:pt idx="12">
                  <c:v>23</c:v>
                </c:pt>
                <c:pt idx="13">
                  <c:v>3</c:v>
                </c:pt>
                <c:pt idx="14">
                  <c:v>0</c:v>
                </c:pt>
                <c:pt idx="15">
                  <c:v>1</c:v>
                </c:pt>
                <c:pt idx="16">
                  <c:v>4</c:v>
                </c:pt>
                <c:pt idx="17">
                  <c:v>2</c:v>
                </c:pt>
                <c:pt idx="18">
                  <c:v>1</c:v>
                </c:pt>
                <c:pt idx="19">
                  <c:v>1</c:v>
                </c:pt>
                <c:pt idx="20">
                  <c:v>1</c:v>
                </c:pt>
                <c:pt idx="21">
                  <c:v>2</c:v>
                </c:pt>
                <c:pt idx="22">
                  <c:v>3</c:v>
                </c:pt>
                <c:pt idx="23">
                  <c:v>1</c:v>
                </c:pt>
                <c:pt idx="24">
                  <c:v>2</c:v>
                </c:pt>
                <c:pt idx="25">
                  <c:v>3</c:v>
                </c:pt>
                <c:pt idx="26">
                  <c:v>0</c:v>
                </c:pt>
                <c:pt idx="27">
                  <c:v>1</c:v>
                </c:pt>
                <c:pt idx="28">
                  <c:v>2</c:v>
                </c:pt>
                <c:pt idx="29">
                  <c:v>1</c:v>
                </c:pt>
                <c:pt idx="30">
                  <c:v>0</c:v>
                </c:pt>
                <c:pt idx="31">
                  <c:v>2</c:v>
                </c:pt>
                <c:pt idx="32">
                  <c:v>0</c:v>
                </c:pt>
                <c:pt idx="33">
                  <c:v>1</c:v>
                </c:pt>
                <c:pt idx="34">
                  <c:v>7</c:v>
                </c:pt>
                <c:pt idx="35">
                  <c:v>5</c:v>
                </c:pt>
                <c:pt idx="36">
                  <c:v>4</c:v>
                </c:pt>
                <c:pt idx="37">
                  <c:v>2</c:v>
                </c:pt>
                <c:pt idx="38">
                  <c:v>1</c:v>
                </c:pt>
                <c:pt idx="39">
                  <c:v>5</c:v>
                </c:pt>
                <c:pt idx="40">
                  <c:v>2</c:v>
                </c:pt>
                <c:pt idx="41">
                  <c:v>1</c:v>
                </c:pt>
                <c:pt idx="42">
                  <c:v>1</c:v>
                </c:pt>
                <c:pt idx="43">
                  <c:v>0</c:v>
                </c:pt>
                <c:pt idx="44">
                  <c:v>5</c:v>
                </c:pt>
                <c:pt idx="45">
                  <c:v>10</c:v>
                </c:pt>
                <c:pt idx="46">
                  <c:v>6</c:v>
                </c:pt>
                <c:pt idx="47">
                  <c:v>13</c:v>
                </c:pt>
                <c:pt idx="48">
                  <c:v>9</c:v>
                </c:pt>
                <c:pt idx="49">
                  <c:v>3</c:v>
                </c:pt>
                <c:pt idx="50">
                  <c:v>7</c:v>
                </c:pt>
                <c:pt idx="51">
                  <c:v>7</c:v>
                </c:pt>
                <c:pt idx="52">
                  <c:v>9</c:v>
                </c:pt>
                <c:pt idx="53">
                  <c:v>5</c:v>
                </c:pt>
                <c:pt idx="54">
                  <c:v>10</c:v>
                </c:pt>
                <c:pt idx="55">
                  <c:v>7</c:v>
                </c:pt>
                <c:pt idx="56">
                  <c:v>18</c:v>
                </c:pt>
                <c:pt idx="57">
                  <c:v>5</c:v>
                </c:pt>
                <c:pt idx="58">
                  <c:v>15</c:v>
                </c:pt>
                <c:pt idx="59">
                  <c:v>7</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Northwest Michigan Community Action Agency</c:v>
                </c:pt>
                <c:pt idx="1">
                  <c:v>Munson Healthcare</c:v>
                </c:pt>
                <c:pt idx="2">
                  <c:v>Benzie Central Schools</c:v>
                </c:pt>
                <c:pt idx="3">
                  <c:v>Public Schools Of Petoskey</c:v>
                </c:pt>
                <c:pt idx="4">
                  <c:v>Charlevoix-emmet Isd</c:v>
                </c:pt>
                <c:pt idx="5">
                  <c:v>Buckley Community Schools</c:v>
                </c:pt>
                <c:pt idx="6">
                  <c:v>Northern Lakes Community Church</c:v>
                </c:pt>
                <c:pt idx="7">
                  <c:v>Nmcca</c:v>
                </c:pt>
                <c:pt idx="8">
                  <c:v>Solutionwhere</c:v>
                </c:pt>
                <c:pt idx="9">
                  <c:v>Boyne City Public Schools</c:v>
                </c:pt>
              </c:strCache>
            </c:strRef>
          </c:cat>
          <c:val>
            <c:numRef>
              <c:f>'2F'!$G$5:$G$14</c:f>
              <c:numCache>
                <c:formatCode>#,##0</c:formatCode>
                <c:ptCount val="10"/>
                <c:pt idx="0">
                  <c:v>66</c:v>
                </c:pt>
                <c:pt idx="1">
                  <c:v>11</c:v>
                </c:pt>
                <c:pt idx="2">
                  <c:v>6</c:v>
                </c:pt>
                <c:pt idx="3">
                  <c:v>3</c:v>
                </c:pt>
                <c:pt idx="4">
                  <c:v>1</c:v>
                </c:pt>
                <c:pt idx="5">
                  <c:v>1</c:v>
                </c:pt>
                <c:pt idx="6">
                  <c:v>1</c:v>
                </c:pt>
                <c:pt idx="7">
                  <c:v>1</c:v>
                </c:pt>
                <c:pt idx="8">
                  <c:v>1</c:v>
                </c:pt>
                <c:pt idx="9">
                  <c:v>1</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17.659320962360489</c:v>
                </c:pt>
                <c:pt idx="1">
                  <c:v>18.1008039864195</c:v>
                </c:pt>
                <c:pt idx="2">
                  <c:v>18.553324086079986</c:v>
                </c:pt>
                <c:pt idx="3">
                  <c:v>19.017157188231984</c:v>
                </c:pt>
                <c:pt idx="4">
                  <c:v>19.492586117937783</c:v>
                </c:pt>
                <c:pt idx="5">
                  <c:v>19.979900770886225</c:v>
                </c:pt>
                <c:pt idx="6">
                  <c:v>20.479398290158379</c:v>
                </c:pt>
                <c:pt idx="7">
                  <c:v>20.991383247412337</c:v>
                </c:pt>
                <c:pt idx="8">
                  <c:v>21.516167828597645</c:v>
                </c:pt>
                <c:pt idx="9">
                  <c:v>22.054072024312585</c:v>
                </c:pt>
                <c:pt idx="10">
                  <c:v>22.605423824920397</c:v>
                </c:pt>
                <c:pt idx="11">
                  <c:v>23.170559420543405</c:v>
                </c:pt>
                <c:pt idx="12">
                  <c:v>23.74982340605699</c:v>
                </c:pt>
                <c:pt idx="13">
                  <c:v>24.343568991208414</c:v>
                </c:pt>
                <c:pt idx="14">
                  <c:v>24.952158215988621</c:v>
                </c:pt>
                <c:pt idx="15">
                  <c:v>25.575962171388333</c:v>
                </c:pt>
                <c:pt idx="16">
                  <c:v>26.215361225673039</c:v>
                </c:pt>
                <c:pt idx="17">
                  <c:v>26.870745256314862</c:v>
                </c:pt>
                <c:pt idx="18">
                  <c:v>27.54251388772273</c:v>
                </c:pt>
                <c:pt idx="19">
                  <c:v>28.231076734915796</c:v>
                </c:pt>
                <c:pt idx="20">
                  <c:v>28.936853653288686</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20.720267857142858</c:v>
                </c:pt>
                <c:pt idx="1">
                  <c:v>21.238274553571426</c:v>
                </c:pt>
                <c:pt idx="2">
                  <c:v>21.769231417410708</c:v>
                </c:pt>
                <c:pt idx="3">
                  <c:v>22.313462202845972</c:v>
                </c:pt>
                <c:pt idx="4">
                  <c:v>22.871298757917121</c:v>
                </c:pt>
                <c:pt idx="5">
                  <c:v>23.443081226865047</c:v>
                </c:pt>
                <c:pt idx="6">
                  <c:v>24.029158257536672</c:v>
                </c:pt>
                <c:pt idx="7">
                  <c:v>24.629887213975085</c:v>
                </c:pt>
                <c:pt idx="8">
                  <c:v>25.245634394324458</c:v>
                </c:pt>
                <c:pt idx="9">
                  <c:v>25.876775254182569</c:v>
                </c:pt>
                <c:pt idx="10">
                  <c:v>26.523694635537129</c:v>
                </c:pt>
                <c:pt idx="11">
                  <c:v>27.186787001425554</c:v>
                </c:pt>
                <c:pt idx="12">
                  <c:v>27.866456676461191</c:v>
                </c:pt>
                <c:pt idx="13">
                  <c:v>28.563118093372719</c:v>
                </c:pt>
                <c:pt idx="14">
                  <c:v>29.277196045707033</c:v>
                </c:pt>
                <c:pt idx="15">
                  <c:v>30.009125946849707</c:v>
                </c:pt>
                <c:pt idx="16">
                  <c:v>30.759354095520948</c:v>
                </c:pt>
                <c:pt idx="17">
                  <c:v>31.52833794790897</c:v>
                </c:pt>
                <c:pt idx="18">
                  <c:v>32.316546396606689</c:v>
                </c:pt>
                <c:pt idx="19">
                  <c:v>33.124460056521855</c:v>
                </c:pt>
                <c:pt idx="20">
                  <c:v>33.952571557934895</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22.792294642857147</c:v>
                </c:pt>
                <c:pt idx="1">
                  <c:v>23.362102008928574</c:v>
                </c:pt>
                <c:pt idx="2">
                  <c:v>23.946154559151786</c:v>
                </c:pt>
                <c:pt idx="3">
                  <c:v>24.544808423130579</c:v>
                </c:pt>
                <c:pt idx="4">
                  <c:v>25.158428633708841</c:v>
                </c:pt>
                <c:pt idx="5">
                  <c:v>25.78738934955156</c:v>
                </c:pt>
                <c:pt idx="6">
                  <c:v>26.432074083290345</c:v>
                </c:pt>
                <c:pt idx="7">
                  <c:v>27.0928759353726</c:v>
                </c:pt>
                <c:pt idx="8">
                  <c:v>27.770197833756914</c:v>
                </c:pt>
                <c:pt idx="9">
                  <c:v>28.464452779600833</c:v>
                </c:pt>
                <c:pt idx="10">
                  <c:v>29.176064099090851</c:v>
                </c:pt>
                <c:pt idx="11">
                  <c:v>29.905465701568119</c:v>
                </c:pt>
                <c:pt idx="12">
                  <c:v>30.653102344107317</c:v>
                </c:pt>
                <c:pt idx="13">
                  <c:v>31.419429902709997</c:v>
                </c:pt>
                <c:pt idx="14">
                  <c:v>32.204915650277741</c:v>
                </c:pt>
                <c:pt idx="15">
                  <c:v>33.010038541534684</c:v>
                </c:pt>
                <c:pt idx="16">
                  <c:v>33.83528950507305</c:v>
                </c:pt>
                <c:pt idx="17">
                  <c:v>34.681171742699874</c:v>
                </c:pt>
                <c:pt idx="18">
                  <c:v>35.548201036267365</c:v>
                </c:pt>
                <c:pt idx="19">
                  <c:v>36.436906062174046</c:v>
                </c:pt>
                <c:pt idx="20">
                  <c:v>37.347828713728397</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25.071524107142864</c:v>
                </c:pt>
                <c:pt idx="1">
                  <c:v>25.698312209821434</c:v>
                </c:pt>
                <c:pt idx="2">
                  <c:v>26.340770015066969</c:v>
                </c:pt>
                <c:pt idx="3">
                  <c:v>26.99928926544364</c:v>
                </c:pt>
                <c:pt idx="4">
                  <c:v>27.674271497079729</c:v>
                </c:pt>
                <c:pt idx="5">
                  <c:v>28.366128284506722</c:v>
                </c:pt>
                <c:pt idx="6">
                  <c:v>29.075281491619389</c:v>
                </c:pt>
                <c:pt idx="7">
                  <c:v>29.802163528909873</c:v>
                </c:pt>
                <c:pt idx="8">
                  <c:v>30.547217617132617</c:v>
                </c:pt>
                <c:pt idx="9">
                  <c:v>31.31089805756093</c:v>
                </c:pt>
                <c:pt idx="10">
                  <c:v>32.093670508999949</c:v>
                </c:pt>
                <c:pt idx="11">
                  <c:v>32.896012271724942</c:v>
                </c:pt>
                <c:pt idx="12">
                  <c:v>33.718412578518063</c:v>
                </c:pt>
                <c:pt idx="13">
                  <c:v>34.561372892981012</c:v>
                </c:pt>
                <c:pt idx="14">
                  <c:v>35.425407215305533</c:v>
                </c:pt>
                <c:pt idx="15">
                  <c:v>36.311042395688169</c:v>
                </c:pt>
                <c:pt idx="16">
                  <c:v>37.218818455580369</c:v>
                </c:pt>
                <c:pt idx="17">
                  <c:v>38.149288916969873</c:v>
                </c:pt>
                <c:pt idx="18">
                  <c:v>39.103021139894118</c:v>
                </c:pt>
                <c:pt idx="19">
                  <c:v>40.080596668391465</c:v>
                </c:pt>
                <c:pt idx="20">
                  <c:v>41.082611585101247</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27.578676517857151</c:v>
                </c:pt>
                <c:pt idx="1">
                  <c:v>28.268143430803576</c:v>
                </c:pt>
                <c:pt idx="2">
                  <c:v>28.974847016573662</c:v>
                </c:pt>
                <c:pt idx="3">
                  <c:v>29.699218191988003</c:v>
                </c:pt>
                <c:pt idx="4">
                  <c:v>30.4416986467877</c:v>
                </c:pt>
                <c:pt idx="5">
                  <c:v>31.202741112957391</c:v>
                </c:pt>
                <c:pt idx="6">
                  <c:v>31.982809640781323</c:v>
                </c:pt>
                <c:pt idx="7">
                  <c:v>32.78237988180085</c:v>
                </c:pt>
                <c:pt idx="8">
                  <c:v>33.60193937884587</c:v>
                </c:pt>
                <c:pt idx="9">
                  <c:v>34.441987863317017</c:v>
                </c:pt>
                <c:pt idx="10">
                  <c:v>35.303037559899941</c:v>
                </c:pt>
                <c:pt idx="11">
                  <c:v>36.185613498897439</c:v>
                </c:pt>
                <c:pt idx="12">
                  <c:v>37.090253836369868</c:v>
                </c:pt>
                <c:pt idx="13">
                  <c:v>38.017510182279111</c:v>
                </c:pt>
                <c:pt idx="14">
                  <c:v>38.967947936836083</c:v>
                </c:pt>
                <c:pt idx="15">
                  <c:v>39.942146635256982</c:v>
                </c:pt>
                <c:pt idx="16">
                  <c:v>40.940700301138406</c:v>
                </c:pt>
                <c:pt idx="17">
                  <c:v>41.964217808666859</c:v>
                </c:pt>
                <c:pt idx="18">
                  <c:v>43.013323253883527</c:v>
                </c:pt>
                <c:pt idx="19">
                  <c:v>44.08865633523061</c:v>
                </c:pt>
                <c:pt idx="20">
                  <c:v>45.190872743611372</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30.336544169642867</c:v>
                </c:pt>
                <c:pt idx="1">
                  <c:v>31.094957773883937</c:v>
                </c:pt>
                <c:pt idx="2">
                  <c:v>31.872331718231035</c:v>
                </c:pt>
                <c:pt idx="3">
                  <c:v>32.669140011186805</c:v>
                </c:pt>
                <c:pt idx="4">
                  <c:v>33.485868511466471</c:v>
                </c:pt>
                <c:pt idx="5">
                  <c:v>34.323015224253133</c:v>
                </c:pt>
                <c:pt idx="6">
                  <c:v>35.181090604859456</c:v>
                </c:pt>
                <c:pt idx="7">
                  <c:v>36.060617869980938</c:v>
                </c:pt>
                <c:pt idx="8">
                  <c:v>36.962133316730458</c:v>
                </c:pt>
                <c:pt idx="9">
                  <c:v>37.886186649648714</c:v>
                </c:pt>
                <c:pt idx="10">
                  <c:v>38.833341315889932</c:v>
                </c:pt>
                <c:pt idx="11">
                  <c:v>39.804174848787177</c:v>
                </c:pt>
                <c:pt idx="12">
                  <c:v>40.799279220006852</c:v>
                </c:pt>
                <c:pt idx="13">
                  <c:v>41.819261200507022</c:v>
                </c:pt>
                <c:pt idx="14">
                  <c:v>42.864742730519694</c:v>
                </c:pt>
                <c:pt idx="15">
                  <c:v>43.936361298782685</c:v>
                </c:pt>
                <c:pt idx="16">
                  <c:v>45.034770331252247</c:v>
                </c:pt>
                <c:pt idx="17">
                  <c:v>46.160639589533552</c:v>
                </c:pt>
                <c:pt idx="18">
                  <c:v>47.314655579271886</c:v>
                </c:pt>
                <c:pt idx="19">
                  <c:v>48.497521968753681</c:v>
                </c:pt>
                <c:pt idx="20">
                  <c:v>49.70996001797252</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16.053928147600445</c:v>
                </c:pt>
                <c:pt idx="1">
                  <c:v>16.455276351290454</c:v>
                </c:pt>
                <c:pt idx="2">
                  <c:v>16.866658260072715</c:v>
                </c:pt>
                <c:pt idx="3">
                  <c:v>17.288324716574532</c:v>
                </c:pt>
                <c:pt idx="4">
                  <c:v>17.720532834488893</c:v>
                </c:pt>
                <c:pt idx="5">
                  <c:v>18.163546155351113</c:v>
                </c:pt>
                <c:pt idx="6">
                  <c:v>18.61763480923489</c:v>
                </c:pt>
                <c:pt idx="7">
                  <c:v>19.083075679465761</c:v>
                </c:pt>
                <c:pt idx="8">
                  <c:v>19.560152571452402</c:v>
                </c:pt>
                <c:pt idx="9">
                  <c:v>20.049156385738712</c:v>
                </c:pt>
                <c:pt idx="10">
                  <c:v>20.550385295382178</c:v>
                </c:pt>
                <c:pt idx="11">
                  <c:v>21.06414492776673</c:v>
                </c:pt>
                <c:pt idx="12">
                  <c:v>21.590748550960896</c:v>
                </c:pt>
                <c:pt idx="13">
                  <c:v>22.130517264734916</c:v>
                </c:pt>
                <c:pt idx="14">
                  <c:v>22.683780196353286</c:v>
                </c:pt>
                <c:pt idx="15">
                  <c:v>23.250874701262116</c:v>
                </c:pt>
                <c:pt idx="16">
                  <c:v>23.832146568793668</c:v>
                </c:pt>
                <c:pt idx="17">
                  <c:v>24.427950233013508</c:v>
                </c:pt>
                <c:pt idx="18">
                  <c:v>25.038648988838844</c:v>
                </c:pt>
                <c:pt idx="19">
                  <c:v>25.664615213559813</c:v>
                </c:pt>
                <c:pt idx="20">
                  <c:v>26.306230593898807</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18.83660714285714</c:v>
                </c:pt>
                <c:pt idx="1">
                  <c:v>19.307522321428568</c:v>
                </c:pt>
                <c:pt idx="2">
                  <c:v>19.790210379464281</c:v>
                </c:pt>
                <c:pt idx="3">
                  <c:v>20.284965638950887</c:v>
                </c:pt>
                <c:pt idx="4">
                  <c:v>20.792089779924655</c:v>
                </c:pt>
                <c:pt idx="5">
                  <c:v>21.311892024422772</c:v>
                </c:pt>
                <c:pt idx="6">
                  <c:v>21.84468932503334</c:v>
                </c:pt>
                <c:pt idx="7">
                  <c:v>22.39080655815917</c:v>
                </c:pt>
                <c:pt idx="8">
                  <c:v>22.950576722113148</c:v>
                </c:pt>
                <c:pt idx="9">
                  <c:v>23.524341140165973</c:v>
                </c:pt>
                <c:pt idx="10">
                  <c:v>24.11244966867012</c:v>
                </c:pt>
                <c:pt idx="11">
                  <c:v>24.715260910386871</c:v>
                </c:pt>
                <c:pt idx="12">
                  <c:v>25.333142433146541</c:v>
                </c:pt>
                <c:pt idx="13">
                  <c:v>25.966470993975204</c:v>
                </c:pt>
                <c:pt idx="14">
                  <c:v>26.615632768824582</c:v>
                </c:pt>
                <c:pt idx="15">
                  <c:v>27.281023588045194</c:v>
                </c:pt>
                <c:pt idx="16">
                  <c:v>27.963049177746321</c:v>
                </c:pt>
                <c:pt idx="17">
                  <c:v>28.662125407189976</c:v>
                </c:pt>
                <c:pt idx="18">
                  <c:v>29.378678542369723</c:v>
                </c:pt>
                <c:pt idx="19">
                  <c:v>30.113145505928962</c:v>
                </c:pt>
                <c:pt idx="20">
                  <c:v>30.865974143577183</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20.720267857142854</c:v>
                </c:pt>
                <c:pt idx="1">
                  <c:v>21.238274553571422</c:v>
                </c:pt>
                <c:pt idx="2">
                  <c:v>21.769231417410705</c:v>
                </c:pt>
                <c:pt idx="3">
                  <c:v>22.313462202845969</c:v>
                </c:pt>
                <c:pt idx="4">
                  <c:v>22.871298757917117</c:v>
                </c:pt>
                <c:pt idx="5">
                  <c:v>23.443081226865043</c:v>
                </c:pt>
                <c:pt idx="6">
                  <c:v>24.029158257536668</c:v>
                </c:pt>
                <c:pt idx="7">
                  <c:v>24.629887213975081</c:v>
                </c:pt>
                <c:pt idx="8">
                  <c:v>25.245634394324455</c:v>
                </c:pt>
                <c:pt idx="9">
                  <c:v>25.876775254182565</c:v>
                </c:pt>
                <c:pt idx="10">
                  <c:v>26.523694635537126</c:v>
                </c:pt>
                <c:pt idx="11">
                  <c:v>27.18678700142555</c:v>
                </c:pt>
                <c:pt idx="12">
                  <c:v>27.866456676461187</c:v>
                </c:pt>
                <c:pt idx="13">
                  <c:v>28.563118093372715</c:v>
                </c:pt>
                <c:pt idx="14">
                  <c:v>29.277196045707029</c:v>
                </c:pt>
                <c:pt idx="15">
                  <c:v>30.009125946849704</c:v>
                </c:pt>
                <c:pt idx="16">
                  <c:v>30.759354095520944</c:v>
                </c:pt>
                <c:pt idx="17">
                  <c:v>31.528337947908966</c:v>
                </c:pt>
                <c:pt idx="18">
                  <c:v>32.316546396606689</c:v>
                </c:pt>
                <c:pt idx="19">
                  <c:v>33.124460056521855</c:v>
                </c:pt>
                <c:pt idx="20">
                  <c:v>33.952571557934895</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22.79229464285714</c:v>
                </c:pt>
                <c:pt idx="1">
                  <c:v>23.362102008928566</c:v>
                </c:pt>
                <c:pt idx="2">
                  <c:v>23.946154559151779</c:v>
                </c:pt>
                <c:pt idx="3">
                  <c:v>24.544808423130572</c:v>
                </c:pt>
                <c:pt idx="4">
                  <c:v>25.158428633708834</c:v>
                </c:pt>
                <c:pt idx="5">
                  <c:v>25.787389349551553</c:v>
                </c:pt>
                <c:pt idx="6">
                  <c:v>26.432074083290338</c:v>
                </c:pt>
                <c:pt idx="7">
                  <c:v>27.092875935372593</c:v>
                </c:pt>
                <c:pt idx="8">
                  <c:v>27.770197833756907</c:v>
                </c:pt>
                <c:pt idx="9">
                  <c:v>28.464452779600826</c:v>
                </c:pt>
                <c:pt idx="10">
                  <c:v>29.176064099090844</c:v>
                </c:pt>
                <c:pt idx="11">
                  <c:v>29.905465701568112</c:v>
                </c:pt>
                <c:pt idx="12">
                  <c:v>30.65310234410731</c:v>
                </c:pt>
                <c:pt idx="13">
                  <c:v>31.419429902709989</c:v>
                </c:pt>
                <c:pt idx="14">
                  <c:v>32.204915650277734</c:v>
                </c:pt>
                <c:pt idx="15">
                  <c:v>33.010038541534676</c:v>
                </c:pt>
                <c:pt idx="16">
                  <c:v>33.835289505073042</c:v>
                </c:pt>
                <c:pt idx="17">
                  <c:v>34.681171742699867</c:v>
                </c:pt>
                <c:pt idx="18">
                  <c:v>35.548201036267358</c:v>
                </c:pt>
                <c:pt idx="19">
                  <c:v>36.436906062174039</c:v>
                </c:pt>
                <c:pt idx="20">
                  <c:v>37.34782871372839</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25.071524107142857</c:v>
                </c:pt>
                <c:pt idx="1">
                  <c:v>25.698312209821427</c:v>
                </c:pt>
                <c:pt idx="2">
                  <c:v>26.340770015066962</c:v>
                </c:pt>
                <c:pt idx="3">
                  <c:v>26.999289265443633</c:v>
                </c:pt>
                <c:pt idx="4">
                  <c:v>27.674271497079722</c:v>
                </c:pt>
                <c:pt idx="5">
                  <c:v>28.366128284506711</c:v>
                </c:pt>
                <c:pt idx="6">
                  <c:v>29.075281491619375</c:v>
                </c:pt>
                <c:pt idx="7">
                  <c:v>29.802163528909858</c:v>
                </c:pt>
                <c:pt idx="8">
                  <c:v>30.547217617132603</c:v>
                </c:pt>
                <c:pt idx="9">
                  <c:v>31.310898057560916</c:v>
                </c:pt>
                <c:pt idx="10">
                  <c:v>32.093670508999935</c:v>
                </c:pt>
                <c:pt idx="11">
                  <c:v>32.896012271724928</c:v>
                </c:pt>
                <c:pt idx="12">
                  <c:v>33.718412578518048</c:v>
                </c:pt>
                <c:pt idx="13">
                  <c:v>34.561372892980998</c:v>
                </c:pt>
                <c:pt idx="14">
                  <c:v>35.425407215305519</c:v>
                </c:pt>
                <c:pt idx="15">
                  <c:v>36.311042395688155</c:v>
                </c:pt>
                <c:pt idx="16">
                  <c:v>37.218818455580355</c:v>
                </c:pt>
                <c:pt idx="17">
                  <c:v>38.149288916969859</c:v>
                </c:pt>
                <c:pt idx="18">
                  <c:v>39.103021139894103</c:v>
                </c:pt>
                <c:pt idx="19">
                  <c:v>40.080596668391451</c:v>
                </c:pt>
                <c:pt idx="20">
                  <c:v>41.082611585101233</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27.578676517857144</c:v>
                </c:pt>
                <c:pt idx="1">
                  <c:v>28.268143430803569</c:v>
                </c:pt>
                <c:pt idx="2">
                  <c:v>28.974847016573655</c:v>
                </c:pt>
                <c:pt idx="3">
                  <c:v>29.699218191987995</c:v>
                </c:pt>
                <c:pt idx="4">
                  <c:v>30.441698646787692</c:v>
                </c:pt>
                <c:pt idx="5">
                  <c:v>31.202741112957384</c:v>
                </c:pt>
                <c:pt idx="6">
                  <c:v>31.982809640781316</c:v>
                </c:pt>
                <c:pt idx="7">
                  <c:v>32.782379881800843</c:v>
                </c:pt>
                <c:pt idx="8">
                  <c:v>33.601939378845863</c:v>
                </c:pt>
                <c:pt idx="9">
                  <c:v>34.44198786331701</c:v>
                </c:pt>
                <c:pt idx="10">
                  <c:v>35.303037559899934</c:v>
                </c:pt>
                <c:pt idx="11">
                  <c:v>36.185613498897432</c:v>
                </c:pt>
                <c:pt idx="12">
                  <c:v>37.090253836369861</c:v>
                </c:pt>
                <c:pt idx="13">
                  <c:v>38.017510182279104</c:v>
                </c:pt>
                <c:pt idx="14">
                  <c:v>38.967947936836076</c:v>
                </c:pt>
                <c:pt idx="15">
                  <c:v>39.942146635256975</c:v>
                </c:pt>
                <c:pt idx="16">
                  <c:v>40.940700301138399</c:v>
                </c:pt>
                <c:pt idx="17">
                  <c:v>41.964217808666852</c:v>
                </c:pt>
                <c:pt idx="18">
                  <c:v>43.01332325388352</c:v>
                </c:pt>
                <c:pt idx="19">
                  <c:v>44.088656335230603</c:v>
                </c:pt>
                <c:pt idx="20">
                  <c:v>45.190872743611365</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4.3010752688172043E-3</c:v>
                </c:pt>
                <c:pt idx="1">
                  <c:v>5.2688172043010753E-2</c:v>
                </c:pt>
                <c:pt idx="2">
                  <c:v>0.15698924731182795</c:v>
                </c:pt>
                <c:pt idx="3">
                  <c:v>0.25161290322580643</c:v>
                </c:pt>
                <c:pt idx="4">
                  <c:v>0.17849462365591398</c:v>
                </c:pt>
                <c:pt idx="5">
                  <c:v>0.19247311827956989</c:v>
                </c:pt>
                <c:pt idx="6">
                  <c:v>5.5913978494623658E-2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0"/>
              <c:layout>
                <c:manualLayout>
                  <c:x val="-9.947676994921105E-2"/>
                  <c:y val="-0.237230051003027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B3-4B7A-9868-AA5F1E9031A8}"/>
                </c:ext>
              </c:extLst>
            </c:dLbl>
            <c:dLbl>
              <c:idx val="2"/>
              <c:layout>
                <c:manualLayout>
                  <c:x val="-8.3707945597709457E-2"/>
                  <c:y val="3.463035999596964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8.8694822238129328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1.0693322425605891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4344309234073013"/>
                  <c:y val="5.6172901702819782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0.8354838709677419</c:v>
                </c:pt>
                <c:pt idx="1">
                  <c:v>8.2795698924731181E-2</c:v>
                </c:pt>
                <c:pt idx="2">
                  <c:v>4.6236559139784944E-2</c:v>
                </c:pt>
                <c:pt idx="3">
                  <c:v>2.1505376344086023E-2</c:v>
                </c:pt>
                <c:pt idx="4">
                  <c:v>1.0752688172043012E-2</c:v>
                </c:pt>
                <c:pt idx="5">
                  <c:v>3.2258064516129032E-3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20.569095439113067</c:v>
                </c:pt>
                <c:pt idx="1">
                  <c:v>21.083322825090892</c:v>
                </c:pt>
                <c:pt idx="2">
                  <c:v>21.610405895718163</c:v>
                </c:pt>
                <c:pt idx="3">
                  <c:v>22.150666043111116</c:v>
                </c:pt>
                <c:pt idx="4">
                  <c:v>22.704432694188892</c:v>
                </c:pt>
                <c:pt idx="5">
                  <c:v>23.272043511543611</c:v>
                </c:pt>
                <c:pt idx="6">
                  <c:v>23.853844599332199</c:v>
                </c:pt>
                <c:pt idx="7">
                  <c:v>24.4501907143155</c:v>
                </c:pt>
                <c:pt idx="8">
                  <c:v>25.061445482173387</c:v>
                </c:pt>
                <c:pt idx="9">
                  <c:v>25.68798161922772</c:v>
                </c:pt>
                <c:pt idx="10">
                  <c:v>26.33018115970841</c:v>
                </c:pt>
                <c:pt idx="11">
                  <c:v>26.988435688701117</c:v>
                </c:pt>
                <c:pt idx="12">
                  <c:v>27.663146580918642</c:v>
                </c:pt>
                <c:pt idx="13">
                  <c:v>28.354725245441607</c:v>
                </c:pt>
                <c:pt idx="14">
                  <c:v>29.063593376577643</c:v>
                </c:pt>
                <c:pt idx="15">
                  <c:v>29.79018321099208</c:v>
                </c:pt>
                <c:pt idx="16">
                  <c:v>30.534937791266881</c:v>
                </c:pt>
                <c:pt idx="17">
                  <c:v>31.298311236048551</c:v>
                </c:pt>
                <c:pt idx="18">
                  <c:v>32.080769016949759</c:v>
                </c:pt>
                <c:pt idx="19">
                  <c:v>32.882788242373501</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25.743363095238088</c:v>
                </c:pt>
                <c:pt idx="1">
                  <c:v>26.386947172619038</c:v>
                </c:pt>
                <c:pt idx="2">
                  <c:v>27.046620851934513</c:v>
                </c:pt>
                <c:pt idx="3">
                  <c:v>27.722786373232875</c:v>
                </c:pt>
                <c:pt idx="4">
                  <c:v>28.415856032563696</c:v>
                </c:pt>
                <c:pt idx="5">
                  <c:v>29.126252433377786</c:v>
                </c:pt>
                <c:pt idx="6">
                  <c:v>29.854408744212229</c:v>
                </c:pt>
                <c:pt idx="7">
                  <c:v>30.600768962817533</c:v>
                </c:pt>
                <c:pt idx="8">
                  <c:v>31.365788186887968</c:v>
                </c:pt>
                <c:pt idx="9">
                  <c:v>32.149932891560162</c:v>
                </c:pt>
                <c:pt idx="10">
                  <c:v>32.953681213849165</c:v>
                </c:pt>
                <c:pt idx="11">
                  <c:v>33.777523244195393</c:v>
                </c:pt>
                <c:pt idx="12">
                  <c:v>34.621961325300276</c:v>
                </c:pt>
                <c:pt idx="13">
                  <c:v>35.487510358432779</c:v>
                </c:pt>
                <c:pt idx="14">
                  <c:v>36.374698117393592</c:v>
                </c:pt>
                <c:pt idx="15">
                  <c:v>37.28406557032843</c:v>
                </c:pt>
                <c:pt idx="16">
                  <c:v>38.216167209586636</c:v>
                </c:pt>
                <c:pt idx="17">
                  <c:v>39.171571389826298</c:v>
                </c:pt>
                <c:pt idx="18">
                  <c:v>40.150860674571952</c:v>
                </c:pt>
                <c:pt idx="19">
                  <c:v>41.154632191436249</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28.317699404761903</c:v>
                </c:pt>
                <c:pt idx="1">
                  <c:v>29.025641889880948</c:v>
                </c:pt>
                <c:pt idx="2">
                  <c:v>29.751282937127968</c:v>
                </c:pt>
                <c:pt idx="3">
                  <c:v>30.495065010556164</c:v>
                </c:pt>
                <c:pt idx="4">
                  <c:v>31.257441635820065</c:v>
                </c:pt>
                <c:pt idx="5">
                  <c:v>32.038877676715565</c:v>
                </c:pt>
                <c:pt idx="6">
                  <c:v>32.839849618633451</c:v>
                </c:pt>
                <c:pt idx="7">
                  <c:v>33.660845859099283</c:v>
                </c:pt>
                <c:pt idx="8">
                  <c:v>34.502367005576758</c:v>
                </c:pt>
                <c:pt idx="9">
                  <c:v>35.364926180716175</c:v>
                </c:pt>
                <c:pt idx="10">
                  <c:v>36.249049335234076</c:v>
                </c:pt>
                <c:pt idx="11">
                  <c:v>37.155275568614925</c:v>
                </c:pt>
                <c:pt idx="12">
                  <c:v>38.084157457830294</c:v>
                </c:pt>
                <c:pt idx="13">
                  <c:v>39.036261394276046</c:v>
                </c:pt>
                <c:pt idx="14">
                  <c:v>40.012167929132943</c:v>
                </c:pt>
                <c:pt idx="15">
                  <c:v>41.012472127361264</c:v>
                </c:pt>
                <c:pt idx="16">
                  <c:v>42.037783930545288</c:v>
                </c:pt>
                <c:pt idx="17">
                  <c:v>43.088728528808915</c:v>
                </c:pt>
                <c:pt idx="18">
                  <c:v>44.165946742029135</c:v>
                </c:pt>
                <c:pt idx="19">
                  <c:v>45.270095410579856</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31.149469345238096</c:v>
                </c:pt>
                <c:pt idx="1">
                  <c:v>31.928206078869046</c:v>
                </c:pt>
                <c:pt idx="2">
                  <c:v>32.726411230840768</c:v>
                </c:pt>
                <c:pt idx="3">
                  <c:v>33.544571511611785</c:v>
                </c:pt>
                <c:pt idx="4">
                  <c:v>34.383185799402078</c:v>
                </c:pt>
                <c:pt idx="5">
                  <c:v>35.242765444387125</c:v>
                </c:pt>
                <c:pt idx="6">
                  <c:v>36.123834580496798</c:v>
                </c:pt>
                <c:pt idx="7">
                  <c:v>37.026930445009214</c:v>
                </c:pt>
                <c:pt idx="8">
                  <c:v>37.95260370613444</c:v>
                </c:pt>
                <c:pt idx="9">
                  <c:v>38.901418798787795</c:v>
                </c:pt>
                <c:pt idx="10">
                  <c:v>39.873954268757487</c:v>
                </c:pt>
                <c:pt idx="11">
                  <c:v>40.870803125476421</c:v>
                </c:pt>
                <c:pt idx="12">
                  <c:v>41.892573203613331</c:v>
                </c:pt>
                <c:pt idx="13">
                  <c:v>42.939887533703661</c:v>
                </c:pt>
                <c:pt idx="14">
                  <c:v>44.013384722046247</c:v>
                </c:pt>
                <c:pt idx="15">
                  <c:v>45.113719340097397</c:v>
                </c:pt>
                <c:pt idx="16">
                  <c:v>46.24156232359983</c:v>
                </c:pt>
                <c:pt idx="17">
                  <c:v>47.397601381689825</c:v>
                </c:pt>
                <c:pt idx="18">
                  <c:v>48.582541416232068</c:v>
                </c:pt>
                <c:pt idx="19">
                  <c:v>49.797104951637863</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34.26441627976191</c:v>
                </c:pt>
                <c:pt idx="1">
                  <c:v>35.121026686755954</c:v>
                </c:pt>
                <c:pt idx="2">
                  <c:v>35.999052353924853</c:v>
                </c:pt>
                <c:pt idx="3">
                  <c:v>36.89902866277297</c:v>
                </c:pt>
                <c:pt idx="4">
                  <c:v>37.821504379342294</c:v>
                </c:pt>
                <c:pt idx="5">
                  <c:v>38.767041988825845</c:v>
                </c:pt>
                <c:pt idx="6">
                  <c:v>39.73621803854649</c:v>
                </c:pt>
                <c:pt idx="7">
                  <c:v>40.729623489510146</c:v>
                </c:pt>
                <c:pt idx="8">
                  <c:v>41.747864076747895</c:v>
                </c:pt>
                <c:pt idx="9">
                  <c:v>42.791560678666592</c:v>
                </c:pt>
                <c:pt idx="10">
                  <c:v>43.861349695633251</c:v>
                </c:pt>
                <c:pt idx="11">
                  <c:v>44.957883438024076</c:v>
                </c:pt>
                <c:pt idx="12">
                  <c:v>46.081830523974673</c:v>
                </c:pt>
                <c:pt idx="13">
                  <c:v>47.23387628707404</c:v>
                </c:pt>
                <c:pt idx="14">
                  <c:v>48.41472319425089</c:v>
                </c:pt>
                <c:pt idx="15">
                  <c:v>49.625091274107156</c:v>
                </c:pt>
                <c:pt idx="16">
                  <c:v>50.86571855595983</c:v>
                </c:pt>
                <c:pt idx="17">
                  <c:v>52.137361519858821</c:v>
                </c:pt>
                <c:pt idx="18">
                  <c:v>53.440795557855289</c:v>
                </c:pt>
                <c:pt idx="19">
                  <c:v>54.776815446801663</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37.690857907738099</c:v>
                </c:pt>
                <c:pt idx="1">
                  <c:v>38.633129355431549</c:v>
                </c:pt>
                <c:pt idx="2">
                  <c:v>39.598957589317337</c:v>
                </c:pt>
                <c:pt idx="3">
                  <c:v>40.588931529050264</c:v>
                </c:pt>
                <c:pt idx="4">
                  <c:v>41.603654817276514</c:v>
                </c:pt>
                <c:pt idx="5">
                  <c:v>42.643746187708423</c:v>
                </c:pt>
                <c:pt idx="6">
                  <c:v>43.709839842401131</c:v>
                </c:pt>
                <c:pt idx="7">
                  <c:v>44.802585838461155</c:v>
                </c:pt>
                <c:pt idx="8">
                  <c:v>45.922650484422682</c:v>
                </c:pt>
                <c:pt idx="9">
                  <c:v>47.070716746533243</c:v>
                </c:pt>
                <c:pt idx="10">
                  <c:v>48.247484665196573</c:v>
                </c:pt>
                <c:pt idx="11">
                  <c:v>49.453671781826486</c:v>
                </c:pt>
                <c:pt idx="12">
                  <c:v>50.690013576372145</c:v>
                </c:pt>
                <c:pt idx="13">
                  <c:v>51.957263915781446</c:v>
                </c:pt>
                <c:pt idx="14">
                  <c:v>53.256195513675976</c:v>
                </c:pt>
                <c:pt idx="15">
                  <c:v>54.587600401517868</c:v>
                </c:pt>
                <c:pt idx="16">
                  <c:v>55.952290411555808</c:v>
                </c:pt>
                <c:pt idx="17">
                  <c:v>57.351097671844698</c:v>
                </c:pt>
                <c:pt idx="18">
                  <c:v>58.784875113640808</c:v>
                </c:pt>
                <c:pt idx="19">
                  <c:v>60.254496991481822</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20.16</c:v>
                </c:pt>
                <c:pt idx="1">
                  <c:v>14.99</c:v>
                </c:pt>
                <c:pt idx="2">
                  <c:v>26.1</c:v>
                </c:pt>
                <c:pt idx="3">
                  <c:v>18.239999999999998</c:v>
                </c:pt>
                <c:pt idx="4">
                  <c:v>17.39</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895560286"/>
          <c:y val="0.16926968367707823"/>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003E51"/>
              </a:solidFill>
              <a:ln>
                <a:noFill/>
              </a:ln>
              <a:effectLst/>
            </c:spPr>
            <c:extLst>
              <c:ext xmlns:c16="http://schemas.microsoft.com/office/drawing/2014/chart" uri="{C3380CC4-5D6E-409C-BE32-E72D297353CC}">
                <c16:uniqueId val="{00000001-E9B4-4606-9635-3603B98DA5EB}"/>
              </c:ext>
            </c:extLst>
          </c:dPt>
          <c:dPt>
            <c:idx val="4"/>
            <c:invertIfNegative val="0"/>
            <c:bubble3D val="0"/>
            <c:spPr>
              <a:solidFill>
                <a:srgbClr val="003E51"/>
              </a:solidFill>
              <a:ln>
                <a:noFill/>
              </a:ln>
              <a:effectLst/>
            </c:spPr>
            <c:extLst>
              <c:ext xmlns:c16="http://schemas.microsoft.com/office/drawing/2014/chart" uri="{C3380CC4-5D6E-409C-BE32-E72D297353CC}">
                <c16:uniqueId val="{00000003-E9B4-4606-9635-3603B98DA5EB}"/>
              </c:ext>
            </c:extLst>
          </c:dPt>
          <c:dPt>
            <c:idx val="5"/>
            <c:invertIfNegative val="0"/>
            <c:bubble3D val="0"/>
            <c:spPr>
              <a:solidFill>
                <a:srgbClr val="D45D00"/>
              </a:solidFill>
              <a:ln>
                <a:noFill/>
              </a:ln>
              <a:effectLst/>
            </c:spPr>
            <c:extLst>
              <c:ext xmlns:c16="http://schemas.microsoft.com/office/drawing/2014/chart" uri="{C3380CC4-5D6E-409C-BE32-E72D297353CC}">
                <c16:uniqueId val="{00000004-AF4B-4067-898C-1E58CD33383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7764-434C-B3AF-0E82277610C1}"/>
                </c:ext>
              </c:extLst>
            </c:dLbl>
            <c:dLbl>
              <c:idx val="2"/>
              <c:layout>
                <c:manualLayout>
                  <c:x val="-0.15671873263399086"/>
                  <c:y val="-1.1484612184115815E-16"/>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C764A81C-1BE5-490F-906C-AC6A74D2DDE9}"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9B4-4606-9635-3603B98DA5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Kindergarten Teacher</c:v>
                </c:pt>
                <c:pt idx="2">
                  <c:v>Self-Enrichment Teacher</c:v>
                </c:pt>
                <c:pt idx="3">
                  <c:v>Customer Service Representative</c:v>
                </c:pt>
                <c:pt idx="4">
                  <c:v>Administrative Assistant</c:v>
                </c:pt>
                <c:pt idx="5">
                  <c:v>Assistant Teacher</c:v>
                </c:pt>
              </c:strCache>
            </c:strRef>
          </c:cat>
          <c:val>
            <c:numRef>
              <c:f>'3C'!$Z$29:$Z$34</c:f>
              <c:numCache>
                <c:formatCode>_("$"* #,##0.00_);_("$"* \(#,##0.00\);_("$"* "-"??_);_(@_)</c:formatCode>
                <c:ptCount val="6"/>
                <c:pt idx="0">
                  <c:v>0.4</c:v>
                </c:pt>
                <c:pt idx="1">
                  <c:v>2.71</c:v>
                </c:pt>
                <c:pt idx="2">
                  <c:v>4.2300000000000004</c:v>
                </c:pt>
                <c:pt idx="3">
                  <c:v>4.3499999999999996</c:v>
                </c:pt>
                <c:pt idx="4">
                  <c:v>4.84</c:v>
                </c:pt>
                <c:pt idx="5">
                  <c:v>6.39</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_(&quot;$&quot;* #,##0.00_);_(&quot;$&quot;* \(#,##0.00\);_(&quot;$&quot;* &quot;-&quot;??_);_(@_)"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2</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3.2487309644670052E-2</c:v>
                </c:pt>
                <c:pt idx="2">
                  <c:v>2.8426395939086295E-2</c:v>
                </c:pt>
                <c:pt idx="3">
                  <c:v>2.3350253807106598E-2</c:v>
                </c:pt>
                <c:pt idx="4">
                  <c:v>1.6243654822335026E-2</c:v>
                </c:pt>
                <c:pt idx="5">
                  <c:v>-6.0913705583756344E-3</c:v>
                </c:pt>
                <c:pt idx="6">
                  <c:v>-5.076142131979695E-3</c:v>
                </c:pt>
                <c:pt idx="7">
                  <c:v>2.030456852791878E-2</c:v>
                </c:pt>
                <c:pt idx="8">
                  <c:v>1.4213197969543147E-2</c:v>
                </c:pt>
                <c:pt idx="9">
                  <c:v>-5.076142131979695E-3</c:v>
                </c:pt>
                <c:pt idx="10">
                  <c:v>1.015228426395939E-2</c:v>
                </c:pt>
                <c:pt idx="11">
                  <c:v>-1.015228426395939E-2</c:v>
                </c:pt>
                <c:pt idx="12">
                  <c:v>2.0304568527918783E-3</c:v>
                </c:pt>
                <c:pt idx="13">
                  <c:v>6.0913705583756344E-3</c:v>
                </c:pt>
                <c:pt idx="14">
                  <c:v>1.2182741116751269E-2</c:v>
                </c:pt>
                <c:pt idx="15">
                  <c:v>1.8274111675126905E-2</c:v>
                </c:pt>
                <c:pt idx="16">
                  <c:v>-6.0913705583756344E-3</c:v>
                </c:pt>
                <c:pt idx="17">
                  <c:v>-3.654822335025381E-2</c:v>
                </c:pt>
                <c:pt idx="18">
                  <c:v>-4.5685279187817257E-2</c:v>
                </c:pt>
                <c:pt idx="19">
                  <c:v>-0.10355329949238579</c:v>
                </c:pt>
                <c:pt idx="20">
                  <c:v>-0.11472081218274112</c:v>
                </c:pt>
                <c:pt idx="21">
                  <c:v>-5.5837563451776651E-2</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2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0.40956072351421186</c:v>
                </c:pt>
                <c:pt idx="2">
                  <c:v>0.4483204134366926</c:v>
                </c:pt>
                <c:pt idx="3">
                  <c:v>0.4780361757105942</c:v>
                </c:pt>
                <c:pt idx="4">
                  <c:v>0.4354005167958655</c:v>
                </c:pt>
                <c:pt idx="5">
                  <c:v>0.41860465116279072</c:v>
                </c:pt>
                <c:pt idx="6">
                  <c:v>0.52454780361757114</c:v>
                </c:pt>
                <c:pt idx="7">
                  <c:v>0.46770025839793272</c:v>
                </c:pt>
                <c:pt idx="8">
                  <c:v>0.56847545219638251</c:v>
                </c:pt>
                <c:pt idx="9">
                  <c:v>0.49224806201550392</c:v>
                </c:pt>
                <c:pt idx="10">
                  <c:v>0.43410852713178288</c:v>
                </c:pt>
                <c:pt idx="11">
                  <c:v>0.44961240310077522</c:v>
                </c:pt>
                <c:pt idx="12">
                  <c:v>0.46382428940568471</c:v>
                </c:pt>
                <c:pt idx="13">
                  <c:v>0.65374677002583981</c:v>
                </c:pt>
                <c:pt idx="14">
                  <c:v>0.74806201550387585</c:v>
                </c:pt>
                <c:pt idx="15">
                  <c:v>0.77260981912144711</c:v>
                </c:pt>
                <c:pt idx="16">
                  <c:v>0.79457364341085279</c:v>
                </c:pt>
                <c:pt idx="17">
                  <c:v>0.82558139534883723</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0.16608293258325016</c:v>
                </c:pt>
                <c:pt idx="1">
                  <c:v>9.7314218310498135E-2</c:v>
                </c:pt>
                <c:pt idx="2">
                  <c:v>9.2614100353869883E-2</c:v>
                </c:pt>
                <c:pt idx="3">
                  <c:v>8.8585427819617091E-2</c:v>
                </c:pt>
                <c:pt idx="4">
                  <c:v>7.6490336630069863E-2</c:v>
                </c:pt>
                <c:pt idx="5">
                  <c:v>7.3523273750113416E-2</c:v>
                </c:pt>
                <c:pt idx="6">
                  <c:v>6.0702295617457581E-2</c:v>
                </c:pt>
                <c:pt idx="7">
                  <c:v>5.4786317031122404E-2</c:v>
                </c:pt>
                <c:pt idx="8">
                  <c:v>5.3153071409128026E-2</c:v>
                </c:pt>
                <c:pt idx="9">
                  <c:v>5.0449142546048452E-2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0.15160000000000001</c:v>
                </c:pt>
                <c:pt idx="2">
                  <c:v>0.126</c:v>
                </c:pt>
                <c:pt idx="3">
                  <c:v>0.106</c:v>
                </c:pt>
                <c:pt idx="4">
                  <c:v>0.10199999999999999</c:v>
                </c:pt>
                <c:pt idx="5">
                  <c:v>9.5100000000000004E-2</c:v>
                </c:pt>
                <c:pt idx="6">
                  <c:v>8.5000000000000006E-2</c:v>
                </c:pt>
                <c:pt idx="7">
                  <c:v>5.6000000000000001E-2</c:v>
                </c:pt>
                <c:pt idx="8">
                  <c:v>5.2999999999999999E-2</c:v>
                </c:pt>
                <c:pt idx="9">
                  <c:v>5.2900000000000003E-2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12</c:v>
                </c:pt>
                <c:pt idx="1">
                  <c:v>6</c:v>
                </c:pt>
                <c:pt idx="2">
                  <c:v>8</c:v>
                </c:pt>
                <c:pt idx="3">
                  <c:v>6</c:v>
                </c:pt>
                <c:pt idx="4">
                  <c:v>15</c:v>
                </c:pt>
                <c:pt idx="5">
                  <c:v>6</c:v>
                </c:pt>
                <c:pt idx="6">
                  <c:v>7</c:v>
                </c:pt>
                <c:pt idx="7">
                  <c:v>7</c:v>
                </c:pt>
                <c:pt idx="8">
                  <c:v>4</c:v>
                </c:pt>
                <c:pt idx="9">
                  <c:v>9</c:v>
                </c:pt>
                <c:pt idx="10">
                  <c:v>22</c:v>
                </c:pt>
                <c:pt idx="11">
                  <c:v>10</c:v>
                </c:pt>
                <c:pt idx="12">
                  <c:v>41</c:v>
                </c:pt>
                <c:pt idx="13">
                  <c:v>14</c:v>
                </c:pt>
                <c:pt idx="14">
                  <c:v>2</c:v>
                </c:pt>
                <c:pt idx="15">
                  <c:v>7</c:v>
                </c:pt>
                <c:pt idx="16">
                  <c:v>5</c:v>
                </c:pt>
                <c:pt idx="17">
                  <c:v>7</c:v>
                </c:pt>
                <c:pt idx="18">
                  <c:v>7</c:v>
                </c:pt>
                <c:pt idx="19">
                  <c:v>5</c:v>
                </c:pt>
                <c:pt idx="20">
                  <c:v>0</c:v>
                </c:pt>
                <c:pt idx="21">
                  <c:v>0</c:v>
                </c:pt>
                <c:pt idx="22">
                  <c:v>3</c:v>
                </c:pt>
                <c:pt idx="23">
                  <c:v>3</c:v>
                </c:pt>
                <c:pt idx="24">
                  <c:v>24</c:v>
                </c:pt>
                <c:pt idx="25">
                  <c:v>19</c:v>
                </c:pt>
                <c:pt idx="26">
                  <c:v>7</c:v>
                </c:pt>
                <c:pt idx="27">
                  <c:v>7</c:v>
                </c:pt>
                <c:pt idx="28">
                  <c:v>6</c:v>
                </c:pt>
                <c:pt idx="29">
                  <c:v>13</c:v>
                </c:pt>
                <c:pt idx="30">
                  <c:v>5</c:v>
                </c:pt>
                <c:pt idx="31">
                  <c:v>3</c:v>
                </c:pt>
                <c:pt idx="32">
                  <c:v>8</c:v>
                </c:pt>
                <c:pt idx="33">
                  <c:v>7</c:v>
                </c:pt>
                <c:pt idx="34">
                  <c:v>21</c:v>
                </c:pt>
                <c:pt idx="35">
                  <c:v>8</c:v>
                </c:pt>
                <c:pt idx="36">
                  <c:v>24</c:v>
                </c:pt>
                <c:pt idx="37">
                  <c:v>12</c:v>
                </c:pt>
                <c:pt idx="38">
                  <c:v>20</c:v>
                </c:pt>
                <c:pt idx="39">
                  <c:v>8</c:v>
                </c:pt>
                <c:pt idx="40">
                  <c:v>4</c:v>
                </c:pt>
                <c:pt idx="41">
                  <c:v>4</c:v>
                </c:pt>
                <c:pt idx="42">
                  <c:v>9</c:v>
                </c:pt>
                <c:pt idx="43">
                  <c:v>7</c:v>
                </c:pt>
                <c:pt idx="44">
                  <c:v>3</c:v>
                </c:pt>
                <c:pt idx="45">
                  <c:v>12</c:v>
                </c:pt>
                <c:pt idx="46">
                  <c:v>13</c:v>
                </c:pt>
                <c:pt idx="47">
                  <c:v>12</c:v>
                </c:pt>
                <c:pt idx="48">
                  <c:v>26</c:v>
                </c:pt>
                <c:pt idx="49">
                  <c:v>12</c:v>
                </c:pt>
                <c:pt idx="50">
                  <c:v>13</c:v>
                </c:pt>
                <c:pt idx="51">
                  <c:v>8</c:v>
                </c:pt>
                <c:pt idx="52">
                  <c:v>8</c:v>
                </c:pt>
                <c:pt idx="53">
                  <c:v>10</c:v>
                </c:pt>
                <c:pt idx="54">
                  <c:v>7</c:v>
                </c:pt>
                <c:pt idx="55">
                  <c:v>4</c:v>
                </c:pt>
                <c:pt idx="56">
                  <c:v>15</c:v>
                </c:pt>
                <c:pt idx="57">
                  <c:v>6</c:v>
                </c:pt>
                <c:pt idx="58">
                  <c:v>14</c:v>
                </c:pt>
                <c:pt idx="59">
                  <c:v>9</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Northwest Michigan Community Action Agency</c:v>
                </c:pt>
                <c:pt idx="1">
                  <c:v>Traverse City Area Public Schools</c:v>
                </c:pt>
                <c:pt idx="2">
                  <c:v>Munson Healthcare</c:v>
                </c:pt>
                <c:pt idx="3">
                  <c:v>Northwest Education Services</c:v>
                </c:pt>
                <c:pt idx="4">
                  <c:v>Benzie Central Schools</c:v>
                </c:pt>
                <c:pt idx="5">
                  <c:v>Tcaps Montessori School</c:v>
                </c:pt>
                <c:pt idx="6">
                  <c:v>Willow Hill Elementary School</c:v>
                </c:pt>
                <c:pt idx="7">
                  <c:v>Blair Elementary School</c:v>
                </c:pt>
                <c:pt idx="8">
                  <c:v>Eastern Elementary School</c:v>
                </c:pt>
                <c:pt idx="9">
                  <c:v>Charlevoix-emmet Isd</c:v>
                </c:pt>
              </c:strCache>
            </c:strRef>
          </c:cat>
          <c:val>
            <c:numRef>
              <c:f>'3F'!$G$5:$G$14</c:f>
              <c:numCache>
                <c:formatCode>#,##0</c:formatCode>
                <c:ptCount val="10"/>
                <c:pt idx="0">
                  <c:v>55</c:v>
                </c:pt>
                <c:pt idx="1">
                  <c:v>27</c:v>
                </c:pt>
                <c:pt idx="2">
                  <c:v>18</c:v>
                </c:pt>
                <c:pt idx="3">
                  <c:v>9</c:v>
                </c:pt>
                <c:pt idx="4">
                  <c:v>6</c:v>
                </c:pt>
                <c:pt idx="5">
                  <c:v>4</c:v>
                </c:pt>
                <c:pt idx="6">
                  <c:v>4</c:v>
                </c:pt>
                <c:pt idx="7">
                  <c:v>3</c:v>
                </c:pt>
                <c:pt idx="8">
                  <c:v>3</c:v>
                </c:pt>
                <c:pt idx="9">
                  <c:v>2</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14.127456769888392</c:v>
                </c:pt>
                <c:pt idx="1">
                  <c:v>14.4806431891356</c:v>
                </c:pt>
                <c:pt idx="2">
                  <c:v>14.842659268863988</c:v>
                </c:pt>
                <c:pt idx="3">
                  <c:v>15.213725750585587</c:v>
                </c:pt>
                <c:pt idx="4">
                  <c:v>15.594068894350226</c:v>
                </c:pt>
                <c:pt idx="5">
                  <c:v>15.98392061670898</c:v>
                </c:pt>
                <c:pt idx="6">
                  <c:v>16.383518632126702</c:v>
                </c:pt>
                <c:pt idx="7">
                  <c:v>16.793106597929867</c:v>
                </c:pt>
                <c:pt idx="8">
                  <c:v>17.212934262878111</c:v>
                </c:pt>
                <c:pt idx="9">
                  <c:v>17.643257619450061</c:v>
                </c:pt>
                <c:pt idx="10">
                  <c:v>18.084339059936312</c:v>
                </c:pt>
                <c:pt idx="11">
                  <c:v>18.536447536434718</c:v>
                </c:pt>
                <c:pt idx="12">
                  <c:v>18.999858724845584</c:v>
                </c:pt>
                <c:pt idx="13">
                  <c:v>19.474855192966722</c:v>
                </c:pt>
                <c:pt idx="14">
                  <c:v>19.961726572790887</c:v>
                </c:pt>
                <c:pt idx="15">
                  <c:v>20.460769737110656</c:v>
                </c:pt>
                <c:pt idx="16">
                  <c:v>20.972288980538419</c:v>
                </c:pt>
                <c:pt idx="17">
                  <c:v>21.496596205051876</c:v>
                </c:pt>
                <c:pt idx="18">
                  <c:v>22.03401111017817</c:v>
                </c:pt>
                <c:pt idx="19">
                  <c:v>22.584861387932623</c:v>
                </c:pt>
                <c:pt idx="20">
                  <c:v>23.149482922630938</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15.540200892857143</c:v>
                </c:pt>
                <c:pt idx="1">
                  <c:v>15.92870591517857</c:v>
                </c:pt>
                <c:pt idx="2">
                  <c:v>16.326923563058035</c:v>
                </c:pt>
                <c:pt idx="3">
                  <c:v>16.735096652134484</c:v>
                </c:pt>
                <c:pt idx="4">
                  <c:v>17.153474068437845</c:v>
                </c:pt>
                <c:pt idx="5">
                  <c:v>17.582310920148789</c:v>
                </c:pt>
                <c:pt idx="6">
                  <c:v>18.021868693152506</c:v>
                </c:pt>
                <c:pt idx="7">
                  <c:v>18.472415410481318</c:v>
                </c:pt>
                <c:pt idx="8">
                  <c:v>18.934225795743348</c:v>
                </c:pt>
                <c:pt idx="9">
                  <c:v>19.407581440636932</c:v>
                </c:pt>
                <c:pt idx="10">
                  <c:v>19.892770976652855</c:v>
                </c:pt>
                <c:pt idx="11">
                  <c:v>20.390090251069175</c:v>
                </c:pt>
                <c:pt idx="12">
                  <c:v>20.899842507345902</c:v>
                </c:pt>
                <c:pt idx="13">
                  <c:v>21.422338570029549</c:v>
                </c:pt>
                <c:pt idx="14">
                  <c:v>21.957897034280286</c:v>
                </c:pt>
                <c:pt idx="15">
                  <c:v>22.506844460137291</c:v>
                </c:pt>
                <c:pt idx="16">
                  <c:v>23.069515571640721</c:v>
                </c:pt>
                <c:pt idx="17">
                  <c:v>23.646253460931739</c:v>
                </c:pt>
                <c:pt idx="18">
                  <c:v>24.23740979745503</c:v>
                </c:pt>
                <c:pt idx="19">
                  <c:v>24.843345042391402</c:v>
                </c:pt>
                <c:pt idx="20">
                  <c:v>25.464428668451184</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17.094220982142858</c:v>
                </c:pt>
                <c:pt idx="1">
                  <c:v>17.521576506696427</c:v>
                </c:pt>
                <c:pt idx="2">
                  <c:v>17.959615919363834</c:v>
                </c:pt>
                <c:pt idx="3">
                  <c:v>18.408606317347928</c:v>
                </c:pt>
                <c:pt idx="4">
                  <c:v>18.868821475281624</c:v>
                </c:pt>
                <c:pt idx="5">
                  <c:v>19.340542012163663</c:v>
                </c:pt>
                <c:pt idx="6">
                  <c:v>19.824055562467752</c:v>
                </c:pt>
                <c:pt idx="7">
                  <c:v>20.319656951529446</c:v>
                </c:pt>
                <c:pt idx="8">
                  <c:v>20.827648375317679</c:v>
                </c:pt>
                <c:pt idx="9">
                  <c:v>21.348339584700618</c:v>
                </c:pt>
                <c:pt idx="10">
                  <c:v>21.882048074318131</c:v>
                </c:pt>
                <c:pt idx="11">
                  <c:v>22.429099276176082</c:v>
                </c:pt>
                <c:pt idx="12">
                  <c:v>22.989826758080483</c:v>
                </c:pt>
                <c:pt idx="13">
                  <c:v>23.564572427032491</c:v>
                </c:pt>
                <c:pt idx="14">
                  <c:v>24.153686737708302</c:v>
                </c:pt>
                <c:pt idx="15">
                  <c:v>24.757528906151009</c:v>
                </c:pt>
                <c:pt idx="16">
                  <c:v>25.376467128804784</c:v>
                </c:pt>
                <c:pt idx="17">
                  <c:v>26.010878807024902</c:v>
                </c:pt>
                <c:pt idx="18">
                  <c:v>26.661150777200522</c:v>
                </c:pt>
                <c:pt idx="19">
                  <c:v>27.327679546630531</c:v>
                </c:pt>
                <c:pt idx="20">
                  <c:v>28.010871535296292</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18.803643080357144</c:v>
                </c:pt>
                <c:pt idx="1">
                  <c:v>19.273734157366071</c:v>
                </c:pt>
                <c:pt idx="2">
                  <c:v>19.755577511300221</c:v>
                </c:pt>
                <c:pt idx="3">
                  <c:v>20.249466949082723</c:v>
                </c:pt>
                <c:pt idx="4">
                  <c:v>20.75570362280979</c:v>
                </c:pt>
                <c:pt idx="5">
                  <c:v>21.274596213380033</c:v>
                </c:pt>
                <c:pt idx="6">
                  <c:v>21.80646111871453</c:v>
                </c:pt>
                <c:pt idx="7">
                  <c:v>22.35162264668239</c:v>
                </c:pt>
                <c:pt idx="8">
                  <c:v>22.910413212849448</c:v>
                </c:pt>
                <c:pt idx="9">
                  <c:v>23.483173543170683</c:v>
                </c:pt>
                <c:pt idx="10">
                  <c:v>24.070252881749948</c:v>
                </c:pt>
                <c:pt idx="11">
                  <c:v>24.672009203793696</c:v>
                </c:pt>
                <c:pt idx="12">
                  <c:v>25.288809433888535</c:v>
                </c:pt>
                <c:pt idx="13">
                  <c:v>25.921029669735745</c:v>
                </c:pt>
                <c:pt idx="14">
                  <c:v>26.569055411479138</c:v>
                </c:pt>
                <c:pt idx="15">
                  <c:v>27.233281796766114</c:v>
                </c:pt>
                <c:pt idx="16">
                  <c:v>27.914113841685264</c:v>
                </c:pt>
                <c:pt idx="17">
                  <c:v>28.611966687727392</c:v>
                </c:pt>
                <c:pt idx="18">
                  <c:v>29.327265854920576</c:v>
                </c:pt>
                <c:pt idx="19">
                  <c:v>30.060447501293588</c:v>
                </c:pt>
                <c:pt idx="20">
                  <c:v>30.811958688825925</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20.68400738839286</c:v>
                </c:pt>
                <c:pt idx="1">
                  <c:v>21.201107573102679</c:v>
                </c:pt>
                <c:pt idx="2">
                  <c:v>21.731135262430243</c:v>
                </c:pt>
                <c:pt idx="3">
                  <c:v>22.274413643990997</c:v>
                </c:pt>
                <c:pt idx="4">
                  <c:v>22.831273985090771</c:v>
                </c:pt>
                <c:pt idx="5">
                  <c:v>23.402055834718038</c:v>
                </c:pt>
                <c:pt idx="6">
                  <c:v>23.987107230585988</c:v>
                </c:pt>
                <c:pt idx="7">
                  <c:v>24.586784911350634</c:v>
                </c:pt>
                <c:pt idx="8">
                  <c:v>25.201454534134399</c:v>
                </c:pt>
                <c:pt idx="9">
                  <c:v>25.831490897487758</c:v>
                </c:pt>
                <c:pt idx="10">
                  <c:v>26.477278169924951</c:v>
                </c:pt>
                <c:pt idx="11">
                  <c:v>27.139210124173072</c:v>
                </c:pt>
                <c:pt idx="12">
                  <c:v>27.817690377277398</c:v>
                </c:pt>
                <c:pt idx="13">
                  <c:v>28.513132636709329</c:v>
                </c:pt>
                <c:pt idx="14">
                  <c:v>29.225960952627059</c:v>
                </c:pt>
                <c:pt idx="15">
                  <c:v>29.956609976442731</c:v>
                </c:pt>
                <c:pt idx="16">
                  <c:v>30.705525225853798</c:v>
                </c:pt>
                <c:pt idx="17">
                  <c:v>31.473163356500141</c:v>
                </c:pt>
                <c:pt idx="18">
                  <c:v>32.259992440412638</c:v>
                </c:pt>
                <c:pt idx="19">
                  <c:v>33.06649225142295</c:v>
                </c:pt>
                <c:pt idx="20">
                  <c:v>33.89315455770852</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22.752408127232147</c:v>
                </c:pt>
                <c:pt idx="1">
                  <c:v>23.32121833041295</c:v>
                </c:pt>
                <c:pt idx="2">
                  <c:v>23.904248788673272</c:v>
                </c:pt>
                <c:pt idx="3">
                  <c:v>24.501855008390102</c:v>
                </c:pt>
                <c:pt idx="4">
                  <c:v>25.114401383599851</c:v>
                </c:pt>
                <c:pt idx="5">
                  <c:v>25.742261418189845</c:v>
                </c:pt>
                <c:pt idx="6">
                  <c:v>26.385817953644587</c:v>
                </c:pt>
                <c:pt idx="7">
                  <c:v>27.045463402485698</c:v>
                </c:pt>
                <c:pt idx="8">
                  <c:v>27.721599987547837</c:v>
                </c:pt>
                <c:pt idx="9">
                  <c:v>28.41463998723653</c:v>
                </c:pt>
                <c:pt idx="10">
                  <c:v>29.12500598691744</c:v>
                </c:pt>
                <c:pt idx="11">
                  <c:v>29.853131136590374</c:v>
                </c:pt>
                <c:pt idx="12">
                  <c:v>30.599459415005132</c:v>
                </c:pt>
                <c:pt idx="13">
                  <c:v>31.364445900380257</c:v>
                </c:pt>
                <c:pt idx="14">
                  <c:v>32.14855704788976</c:v>
                </c:pt>
                <c:pt idx="15">
                  <c:v>32.952270974087</c:v>
                </c:pt>
                <c:pt idx="16">
                  <c:v>33.776077748439171</c:v>
                </c:pt>
                <c:pt idx="17">
                  <c:v>34.620479692150148</c:v>
                </c:pt>
                <c:pt idx="18">
                  <c:v>35.4859916844539</c:v>
                </c:pt>
                <c:pt idx="19">
                  <c:v>36.373141476565245</c:v>
                </c:pt>
                <c:pt idx="20">
                  <c:v>37.282470013479376</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0</c:v>
                </c:pt>
                <c:pt idx="1">
                  <c:v>6.7796610169491525E-2</c:v>
                </c:pt>
                <c:pt idx="2">
                  <c:v>0.20338983050847459</c:v>
                </c:pt>
                <c:pt idx="3">
                  <c:v>0.19067796610169491</c:v>
                </c:pt>
                <c:pt idx="4">
                  <c:v>0.1440677966101695</c:v>
                </c:pt>
                <c:pt idx="5">
                  <c:v>0.10169491525423729</c:v>
                </c:pt>
                <c:pt idx="6">
                  <c:v>3.3898305084745763E-2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12.843142518080356</c:v>
                </c:pt>
                <c:pt idx="1">
                  <c:v>13.164221081032364</c:v>
                </c:pt>
                <c:pt idx="2">
                  <c:v>13.493326608058172</c:v>
                </c:pt>
                <c:pt idx="3">
                  <c:v>13.830659773259626</c:v>
                </c:pt>
                <c:pt idx="4">
                  <c:v>14.176426267591115</c:v>
                </c:pt>
                <c:pt idx="5">
                  <c:v>14.530836924280891</c:v>
                </c:pt>
                <c:pt idx="6">
                  <c:v>14.894107847387911</c:v>
                </c:pt>
                <c:pt idx="7">
                  <c:v>15.266460543572608</c:v>
                </c:pt>
                <c:pt idx="8">
                  <c:v>15.648122057161922</c:v>
                </c:pt>
                <c:pt idx="9">
                  <c:v>16.039325108590969</c:v>
                </c:pt>
                <c:pt idx="10">
                  <c:v>16.440308236305743</c:v>
                </c:pt>
                <c:pt idx="11">
                  <c:v>16.851315942213386</c:v>
                </c:pt>
                <c:pt idx="12">
                  <c:v>17.272598840768719</c:v>
                </c:pt>
                <c:pt idx="13">
                  <c:v>17.704413811787937</c:v>
                </c:pt>
                <c:pt idx="14">
                  <c:v>18.147024157082633</c:v>
                </c:pt>
                <c:pt idx="15">
                  <c:v>18.600699761009697</c:v>
                </c:pt>
                <c:pt idx="16">
                  <c:v>19.065717255034937</c:v>
                </c:pt>
                <c:pt idx="17">
                  <c:v>19.542360186410807</c:v>
                </c:pt>
                <c:pt idx="18">
                  <c:v>20.030919191071074</c:v>
                </c:pt>
                <c:pt idx="19">
                  <c:v>20.531692170847851</c:v>
                </c:pt>
                <c:pt idx="20">
                  <c:v>21.044984475119044</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14.127455357142855</c:v>
                </c:pt>
                <c:pt idx="1">
                  <c:v>14.480641741071425</c:v>
                </c:pt>
                <c:pt idx="2">
                  <c:v>14.84265778459821</c:v>
                </c:pt>
                <c:pt idx="3">
                  <c:v>15.213724229213163</c:v>
                </c:pt>
                <c:pt idx="4">
                  <c:v>15.594067334943491</c:v>
                </c:pt>
                <c:pt idx="5">
                  <c:v>15.983919018317076</c:v>
                </c:pt>
                <c:pt idx="6">
                  <c:v>16.383516993775</c:v>
                </c:pt>
                <c:pt idx="7">
                  <c:v>16.793104918619374</c:v>
                </c:pt>
                <c:pt idx="8">
                  <c:v>17.212932541584856</c:v>
                </c:pt>
                <c:pt idx="9">
                  <c:v>17.643255855124476</c:v>
                </c:pt>
                <c:pt idx="10">
                  <c:v>18.084337251502586</c:v>
                </c:pt>
                <c:pt idx="11">
                  <c:v>18.536445682790148</c:v>
                </c:pt>
                <c:pt idx="12">
                  <c:v>18.999856824859901</c:v>
                </c:pt>
                <c:pt idx="13">
                  <c:v>19.474853245481398</c:v>
                </c:pt>
                <c:pt idx="14">
                  <c:v>19.961724576618433</c:v>
                </c:pt>
                <c:pt idx="15">
                  <c:v>20.460767691033894</c:v>
                </c:pt>
                <c:pt idx="16">
                  <c:v>20.972286883309739</c:v>
                </c:pt>
                <c:pt idx="17">
                  <c:v>21.496594055392482</c:v>
                </c:pt>
                <c:pt idx="18">
                  <c:v>22.034008906777292</c:v>
                </c:pt>
                <c:pt idx="19">
                  <c:v>22.584859129446723</c:v>
                </c:pt>
                <c:pt idx="20">
                  <c:v>23.149480607682889</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15.540200892857142</c:v>
                </c:pt>
                <c:pt idx="1">
                  <c:v>15.928705915178568</c:v>
                </c:pt>
                <c:pt idx="2">
                  <c:v>16.326923563058031</c:v>
                </c:pt>
                <c:pt idx="3">
                  <c:v>16.73509665213448</c:v>
                </c:pt>
                <c:pt idx="4">
                  <c:v>17.153474068437841</c:v>
                </c:pt>
                <c:pt idx="5">
                  <c:v>17.582310920148785</c:v>
                </c:pt>
                <c:pt idx="6">
                  <c:v>18.021868693152502</c:v>
                </c:pt>
                <c:pt idx="7">
                  <c:v>18.472415410481315</c:v>
                </c:pt>
                <c:pt idx="8">
                  <c:v>18.934225795743345</c:v>
                </c:pt>
                <c:pt idx="9">
                  <c:v>19.407581440636928</c:v>
                </c:pt>
                <c:pt idx="10">
                  <c:v>19.892770976652848</c:v>
                </c:pt>
                <c:pt idx="11">
                  <c:v>20.390090251069168</c:v>
                </c:pt>
                <c:pt idx="12">
                  <c:v>20.899842507345895</c:v>
                </c:pt>
                <c:pt idx="13">
                  <c:v>21.422338570029542</c:v>
                </c:pt>
                <c:pt idx="14">
                  <c:v>21.957897034280279</c:v>
                </c:pt>
                <c:pt idx="15">
                  <c:v>22.506844460137284</c:v>
                </c:pt>
                <c:pt idx="16">
                  <c:v>23.069515571640714</c:v>
                </c:pt>
                <c:pt idx="17">
                  <c:v>23.646253460931732</c:v>
                </c:pt>
                <c:pt idx="18">
                  <c:v>24.237409797455022</c:v>
                </c:pt>
                <c:pt idx="19">
                  <c:v>24.843345042391395</c:v>
                </c:pt>
                <c:pt idx="20">
                  <c:v>25.464428668451177</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17.094220982142858</c:v>
                </c:pt>
                <c:pt idx="1">
                  <c:v>17.521576506696427</c:v>
                </c:pt>
                <c:pt idx="2">
                  <c:v>17.959615919363834</c:v>
                </c:pt>
                <c:pt idx="3">
                  <c:v>18.408606317347928</c:v>
                </c:pt>
                <c:pt idx="4">
                  <c:v>18.868821475281624</c:v>
                </c:pt>
                <c:pt idx="5">
                  <c:v>19.340542012163663</c:v>
                </c:pt>
                <c:pt idx="6">
                  <c:v>19.824055562467752</c:v>
                </c:pt>
                <c:pt idx="7">
                  <c:v>20.319656951529446</c:v>
                </c:pt>
                <c:pt idx="8">
                  <c:v>20.827648375317679</c:v>
                </c:pt>
                <c:pt idx="9">
                  <c:v>21.348339584700618</c:v>
                </c:pt>
                <c:pt idx="10">
                  <c:v>21.882048074318131</c:v>
                </c:pt>
                <c:pt idx="11">
                  <c:v>22.429099276176082</c:v>
                </c:pt>
                <c:pt idx="12">
                  <c:v>22.989826758080483</c:v>
                </c:pt>
                <c:pt idx="13">
                  <c:v>23.564572427032491</c:v>
                </c:pt>
                <c:pt idx="14">
                  <c:v>24.153686737708302</c:v>
                </c:pt>
                <c:pt idx="15">
                  <c:v>24.757528906151009</c:v>
                </c:pt>
                <c:pt idx="16">
                  <c:v>25.376467128804784</c:v>
                </c:pt>
                <c:pt idx="17">
                  <c:v>26.010878807024902</c:v>
                </c:pt>
                <c:pt idx="18">
                  <c:v>26.661150777200522</c:v>
                </c:pt>
                <c:pt idx="19">
                  <c:v>27.327679546630531</c:v>
                </c:pt>
                <c:pt idx="20">
                  <c:v>28.010871535296292</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18.803643080357144</c:v>
                </c:pt>
                <c:pt idx="1">
                  <c:v>19.273734157366071</c:v>
                </c:pt>
                <c:pt idx="2">
                  <c:v>19.755577511300221</c:v>
                </c:pt>
                <c:pt idx="3">
                  <c:v>20.249466949082723</c:v>
                </c:pt>
                <c:pt idx="4">
                  <c:v>20.75570362280979</c:v>
                </c:pt>
                <c:pt idx="5">
                  <c:v>21.274596213380033</c:v>
                </c:pt>
                <c:pt idx="6">
                  <c:v>21.80646111871453</c:v>
                </c:pt>
                <c:pt idx="7">
                  <c:v>22.35162264668239</c:v>
                </c:pt>
                <c:pt idx="8">
                  <c:v>22.910413212849448</c:v>
                </c:pt>
                <c:pt idx="9">
                  <c:v>23.483173543170683</c:v>
                </c:pt>
                <c:pt idx="10">
                  <c:v>24.070252881749948</c:v>
                </c:pt>
                <c:pt idx="11">
                  <c:v>24.672009203793696</c:v>
                </c:pt>
                <c:pt idx="12">
                  <c:v>25.288809433888535</c:v>
                </c:pt>
                <c:pt idx="13">
                  <c:v>25.921029669735745</c:v>
                </c:pt>
                <c:pt idx="14">
                  <c:v>26.569055411479138</c:v>
                </c:pt>
                <c:pt idx="15">
                  <c:v>27.233281796766114</c:v>
                </c:pt>
                <c:pt idx="16">
                  <c:v>27.914113841685264</c:v>
                </c:pt>
                <c:pt idx="17">
                  <c:v>28.611966687727392</c:v>
                </c:pt>
                <c:pt idx="18">
                  <c:v>29.327265854920576</c:v>
                </c:pt>
                <c:pt idx="19">
                  <c:v>30.060447501293588</c:v>
                </c:pt>
                <c:pt idx="20">
                  <c:v>30.811958688825925</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20.68400738839286</c:v>
                </c:pt>
                <c:pt idx="1">
                  <c:v>21.201107573102679</c:v>
                </c:pt>
                <c:pt idx="2">
                  <c:v>21.731135262430243</c:v>
                </c:pt>
                <c:pt idx="3">
                  <c:v>22.274413643990997</c:v>
                </c:pt>
                <c:pt idx="4">
                  <c:v>22.831273985090771</c:v>
                </c:pt>
                <c:pt idx="5">
                  <c:v>23.402055834718038</c:v>
                </c:pt>
                <c:pt idx="6">
                  <c:v>23.987107230585988</c:v>
                </c:pt>
                <c:pt idx="7">
                  <c:v>24.586784911350634</c:v>
                </c:pt>
                <c:pt idx="8">
                  <c:v>25.201454534134399</c:v>
                </c:pt>
                <c:pt idx="9">
                  <c:v>25.831490897487758</c:v>
                </c:pt>
                <c:pt idx="10">
                  <c:v>26.477278169924951</c:v>
                </c:pt>
                <c:pt idx="11">
                  <c:v>27.139210124173072</c:v>
                </c:pt>
                <c:pt idx="12">
                  <c:v>27.817690377277398</c:v>
                </c:pt>
                <c:pt idx="13">
                  <c:v>28.513132636709329</c:v>
                </c:pt>
                <c:pt idx="14">
                  <c:v>29.225960952627059</c:v>
                </c:pt>
                <c:pt idx="15">
                  <c:v>29.956609976442731</c:v>
                </c:pt>
                <c:pt idx="16">
                  <c:v>30.705525225853798</c:v>
                </c:pt>
                <c:pt idx="17">
                  <c:v>31.473163356500141</c:v>
                </c:pt>
                <c:pt idx="18">
                  <c:v>32.259992440412638</c:v>
                </c:pt>
                <c:pt idx="19">
                  <c:v>33.06649225142295</c:v>
                </c:pt>
                <c:pt idx="20">
                  <c:v>33.89315455770852</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4.5186640471512773E-2</c:v>
                </c:pt>
                <c:pt idx="1">
                  <c:v>0.18664047151277013</c:v>
                </c:pt>
                <c:pt idx="2">
                  <c:v>0.20039292730844793</c:v>
                </c:pt>
                <c:pt idx="3">
                  <c:v>0.17681728880157171</c:v>
                </c:pt>
                <c:pt idx="4">
                  <c:v>0.16110019646365423</c:v>
                </c:pt>
                <c:pt idx="5">
                  <c:v>0.14341846758349705</c:v>
                </c:pt>
                <c:pt idx="6">
                  <c:v>8.6444007858546168E-2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0"/>
              <c:layout>
                <c:manualLayout>
                  <c:x val="-9.5515219688448033E-2"/>
                  <c:y val="-0.156733551163761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96-4B05-A3D5-E4E720C2453A}"/>
                </c:ext>
              </c:extLst>
            </c:dLbl>
            <c:dLbl>
              <c:idx val="1"/>
              <c:layout>
                <c:manualLayout>
                  <c:x val="3.5401370283260049E-2"/>
                  <c:y val="0.38975933096310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96-4B05-A3D5-E4E720C2453A}"/>
                </c:ext>
              </c:extLst>
            </c:dLbl>
            <c:dLbl>
              <c:idx val="2"/>
              <c:layout>
                <c:manualLayout>
                  <c:x val="-9.6694958584722449E-2"/>
                  <c:y val="4.1628882203637836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2.1147356580428242E-3"/>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8.4286396018679488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6941711831475612"/>
                  <c:y val="6.655223372149372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0.88408644400785852</c:v>
                </c:pt>
                <c:pt idx="1">
                  <c:v>4.7151277013752456E-2</c:v>
                </c:pt>
                <c:pt idx="2">
                  <c:v>3.732809430255403E-2</c:v>
                </c:pt>
                <c:pt idx="3">
                  <c:v>1.9646365422396856E-2</c:v>
                </c:pt>
                <c:pt idx="4">
                  <c:v>5.893909626719057E-3</c:v>
                </c:pt>
                <c:pt idx="5">
                  <c:v>5.893909626719057E-3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0492959695107671"/>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13.98</c:v>
                </c:pt>
                <c:pt idx="1">
                  <c:v>12.16</c:v>
                </c:pt>
                <c:pt idx="2">
                  <c:v>14.67</c:v>
                </c:pt>
                <c:pt idx="3">
                  <c:v>17.54</c:v>
                </c:pt>
                <c:pt idx="4">
                  <c:v>16.510000000000002</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Pt>
            <c:idx val="2"/>
            <c:invertIfNegative val="0"/>
            <c:bubble3D val="0"/>
            <c:spPr>
              <a:solidFill>
                <a:srgbClr val="003E51"/>
              </a:solidFill>
              <a:ln>
                <a:noFill/>
              </a:ln>
              <a:effectLst/>
            </c:spPr>
            <c:extLst>
              <c:ext xmlns:c16="http://schemas.microsoft.com/office/drawing/2014/chart" uri="{C3380CC4-5D6E-409C-BE32-E72D297353CC}">
                <c16:uniqueId val="{00000003-AC4E-49A2-9F82-27A36077CB6B}"/>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layout>
                <c:manualLayout>
                  <c:x val="-7.2743093647832258E-3"/>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2E-4BBC-97DE-BCB9267DD8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Home Health and Personal Care Aide</c:v>
                </c:pt>
                <c:pt idx="3">
                  <c:v>Bank Teller</c:v>
                </c:pt>
                <c:pt idx="4">
                  <c:v>Library Technician</c:v>
                </c:pt>
                <c:pt idx="5">
                  <c:v>Waiter/Waitress</c:v>
                </c:pt>
              </c:strCache>
            </c:strRef>
          </c:cat>
          <c:val>
            <c:numRef>
              <c:f>'4C'!$Z$29:$Z$34</c:f>
              <c:numCache>
                <c:formatCode>_("$"* #,##0.00_);_("$"* \(#,##0.00\);_("$"* "-"??_);_(@_)</c:formatCode>
                <c:ptCount val="6"/>
                <c:pt idx="0">
                  <c:v>1.52</c:v>
                </c:pt>
                <c:pt idx="1">
                  <c:v>4.07</c:v>
                </c:pt>
                <c:pt idx="2">
                  <c:v>5.59</c:v>
                </c:pt>
                <c:pt idx="3">
                  <c:v>6.22</c:v>
                </c:pt>
                <c:pt idx="4">
                  <c:v>7.05</c:v>
                </c:pt>
                <c:pt idx="5">
                  <c:v>8.1</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2</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1.4028056112224449E-2</c:v>
                </c:pt>
                <c:pt idx="2">
                  <c:v>-4.0080160320641281E-2</c:v>
                </c:pt>
                <c:pt idx="3">
                  <c:v>-4.6092184368737472E-2</c:v>
                </c:pt>
                <c:pt idx="4">
                  <c:v>-4.8096192384769539E-2</c:v>
                </c:pt>
                <c:pt idx="5">
                  <c:v>-5.410821643286573E-2</c:v>
                </c:pt>
                <c:pt idx="6">
                  <c:v>-8.617234468937876E-2</c:v>
                </c:pt>
                <c:pt idx="7">
                  <c:v>-6.8136272545090179E-2</c:v>
                </c:pt>
                <c:pt idx="8">
                  <c:v>-0.10220440881763528</c:v>
                </c:pt>
                <c:pt idx="9">
                  <c:v>-5.410821643286573E-2</c:v>
                </c:pt>
                <c:pt idx="10">
                  <c:v>2.004008016032064E-2</c:v>
                </c:pt>
                <c:pt idx="11">
                  <c:v>8.0160320641282558E-3</c:v>
                </c:pt>
                <c:pt idx="12">
                  <c:v>4.8096192384769539E-2</c:v>
                </c:pt>
                <c:pt idx="13">
                  <c:v>2.8056112224448898E-2</c:v>
                </c:pt>
                <c:pt idx="14">
                  <c:v>-2.8056112224448898E-2</c:v>
                </c:pt>
                <c:pt idx="15">
                  <c:v>-2.004008016032064E-3</c:v>
                </c:pt>
                <c:pt idx="16">
                  <c:v>1.4028056112224449E-2</c:v>
                </c:pt>
                <c:pt idx="17">
                  <c:v>2.004008016032064E-2</c:v>
                </c:pt>
                <c:pt idx="18">
                  <c:v>0.10220440881763528</c:v>
                </c:pt>
                <c:pt idx="19">
                  <c:v>-3.6072144288577156E-2</c:v>
                </c:pt>
                <c:pt idx="20">
                  <c:v>2.4048096192384769E-2</c:v>
                </c:pt>
                <c:pt idx="21">
                  <c:v>2.004008016032064E-2</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2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0.14903846153846156</c:v>
                </c:pt>
                <c:pt idx="2">
                  <c:v>0.14903846153846156</c:v>
                </c:pt>
                <c:pt idx="3">
                  <c:v>0.13822115384615388</c:v>
                </c:pt>
                <c:pt idx="4">
                  <c:v>0.15624999999999986</c:v>
                </c:pt>
                <c:pt idx="5">
                  <c:v>0.17908653846153849</c:v>
                </c:pt>
                <c:pt idx="6">
                  <c:v>0.17427884615384606</c:v>
                </c:pt>
                <c:pt idx="7">
                  <c:v>0.10576923076923064</c:v>
                </c:pt>
                <c:pt idx="8">
                  <c:v>0.1045673076923076</c:v>
                </c:pt>
                <c:pt idx="9">
                  <c:v>0.12259615384615379</c:v>
                </c:pt>
                <c:pt idx="10">
                  <c:v>0.14182692307692304</c:v>
                </c:pt>
                <c:pt idx="11">
                  <c:v>0.1887019230769231</c:v>
                </c:pt>
                <c:pt idx="12">
                  <c:v>0.22475961538461528</c:v>
                </c:pt>
                <c:pt idx="13">
                  <c:v>0.28245192307692302</c:v>
                </c:pt>
                <c:pt idx="14">
                  <c:v>0.38461538461538453</c:v>
                </c:pt>
                <c:pt idx="15">
                  <c:v>0.59254807692307687</c:v>
                </c:pt>
                <c:pt idx="16">
                  <c:v>0.41947115384615385</c:v>
                </c:pt>
                <c:pt idx="17">
                  <c:v>0.48918269230769235</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c:v>
                </c:pt>
                <c:pt idx="1">
                  <c:v>9.0999999999999998E-2</c:v>
                </c:pt>
                <c:pt idx="2">
                  <c:v>8.5999999999999993E-2</c:v>
                </c:pt>
                <c:pt idx="3">
                  <c:v>8.3599999999999994E-2</c:v>
                </c:pt>
                <c:pt idx="4">
                  <c:v>8.1900000000000001E-2</c:v>
                </c:pt>
                <c:pt idx="5">
                  <c:v>7.8700000000000006E-2</c:v>
                </c:pt>
                <c:pt idx="6">
                  <c:v>6.5000000000000002E-2</c:v>
                </c:pt>
                <c:pt idx="7">
                  <c:v>6.3E-2</c:v>
                </c:pt>
                <c:pt idx="8">
                  <c:v>6.1800000000000001E-2</c:v>
                </c:pt>
                <c:pt idx="9">
                  <c:v>5.7000000000000002E-2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Customer Service Representatives</c:v>
                </c:pt>
                <c:pt idx="5">
                  <c:v>Waiters and  Waiteresses </c:v>
                </c:pt>
                <c:pt idx="6">
                  <c:v>Preschool Teachers</c:v>
                </c:pt>
                <c:pt idx="7">
                  <c:v>Registered Nurses</c:v>
                </c:pt>
                <c:pt idx="8">
                  <c:v>Recreation Workers</c:v>
                </c:pt>
                <c:pt idx="9">
                  <c:v>Managers</c:v>
                </c:pt>
              </c:strCache>
            </c:strRef>
          </c:cat>
          <c:val>
            <c:numRef>
              <c:f>'4E'!$D$7:$D$16</c:f>
              <c:numCache>
                <c:formatCode>0.0%</c:formatCode>
                <c:ptCount val="10"/>
                <c:pt idx="0">
                  <c:v>0.1464</c:v>
                </c:pt>
                <c:pt idx="1">
                  <c:v>0.14169999999999999</c:v>
                </c:pt>
                <c:pt idx="2">
                  <c:v>0.1196</c:v>
                </c:pt>
                <c:pt idx="3">
                  <c:v>0.111</c:v>
                </c:pt>
                <c:pt idx="4">
                  <c:v>9.5600000000000004E-2</c:v>
                </c:pt>
                <c:pt idx="5">
                  <c:v>9.4299999999999995E-2</c:v>
                </c:pt>
                <c:pt idx="6">
                  <c:v>7.5999999999999998E-2</c:v>
                </c:pt>
                <c:pt idx="7">
                  <c:v>7.2076115249977563E-2</c:v>
                </c:pt>
                <c:pt idx="8">
                  <c:v>7.0774616282200886E-2</c:v>
                </c:pt>
                <c:pt idx="9">
                  <c:v>7.0000000000000007E-2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2</c:v>
                </c:pt>
                <c:pt idx="1">
                  <c:v>4</c:v>
                </c:pt>
                <c:pt idx="2">
                  <c:v>2</c:v>
                </c:pt>
                <c:pt idx="3">
                  <c:v>0</c:v>
                </c:pt>
                <c:pt idx="4">
                  <c:v>0</c:v>
                </c:pt>
                <c:pt idx="5">
                  <c:v>2</c:v>
                </c:pt>
                <c:pt idx="6">
                  <c:v>3</c:v>
                </c:pt>
                <c:pt idx="7">
                  <c:v>4</c:v>
                </c:pt>
                <c:pt idx="8">
                  <c:v>2</c:v>
                </c:pt>
                <c:pt idx="9">
                  <c:v>2</c:v>
                </c:pt>
                <c:pt idx="10">
                  <c:v>7</c:v>
                </c:pt>
                <c:pt idx="11">
                  <c:v>12</c:v>
                </c:pt>
                <c:pt idx="12">
                  <c:v>5</c:v>
                </c:pt>
                <c:pt idx="13">
                  <c:v>10</c:v>
                </c:pt>
                <c:pt idx="14">
                  <c:v>7</c:v>
                </c:pt>
                <c:pt idx="15">
                  <c:v>2</c:v>
                </c:pt>
                <c:pt idx="16">
                  <c:v>5</c:v>
                </c:pt>
                <c:pt idx="17">
                  <c:v>4</c:v>
                </c:pt>
                <c:pt idx="18">
                  <c:v>3</c:v>
                </c:pt>
                <c:pt idx="19">
                  <c:v>4</c:v>
                </c:pt>
                <c:pt idx="20">
                  <c:v>1</c:v>
                </c:pt>
                <c:pt idx="21">
                  <c:v>0</c:v>
                </c:pt>
                <c:pt idx="22">
                  <c:v>0</c:v>
                </c:pt>
                <c:pt idx="23">
                  <c:v>4</c:v>
                </c:pt>
                <c:pt idx="24">
                  <c:v>6</c:v>
                </c:pt>
                <c:pt idx="25">
                  <c:v>12</c:v>
                </c:pt>
                <c:pt idx="26">
                  <c:v>1</c:v>
                </c:pt>
                <c:pt idx="27">
                  <c:v>1</c:v>
                </c:pt>
                <c:pt idx="28">
                  <c:v>3</c:v>
                </c:pt>
                <c:pt idx="29">
                  <c:v>1</c:v>
                </c:pt>
                <c:pt idx="30">
                  <c:v>2</c:v>
                </c:pt>
                <c:pt idx="31">
                  <c:v>10</c:v>
                </c:pt>
                <c:pt idx="32">
                  <c:v>5</c:v>
                </c:pt>
                <c:pt idx="33">
                  <c:v>18</c:v>
                </c:pt>
                <c:pt idx="34">
                  <c:v>10</c:v>
                </c:pt>
                <c:pt idx="35">
                  <c:v>24</c:v>
                </c:pt>
                <c:pt idx="36">
                  <c:v>3</c:v>
                </c:pt>
                <c:pt idx="37">
                  <c:v>0</c:v>
                </c:pt>
                <c:pt idx="38">
                  <c:v>3</c:v>
                </c:pt>
                <c:pt idx="39">
                  <c:v>1</c:v>
                </c:pt>
                <c:pt idx="40">
                  <c:v>2</c:v>
                </c:pt>
                <c:pt idx="41">
                  <c:v>1</c:v>
                </c:pt>
                <c:pt idx="42">
                  <c:v>1</c:v>
                </c:pt>
                <c:pt idx="43">
                  <c:v>1</c:v>
                </c:pt>
                <c:pt idx="44">
                  <c:v>2</c:v>
                </c:pt>
                <c:pt idx="45">
                  <c:v>6</c:v>
                </c:pt>
                <c:pt idx="46">
                  <c:v>2</c:v>
                </c:pt>
                <c:pt idx="47">
                  <c:v>16</c:v>
                </c:pt>
                <c:pt idx="48">
                  <c:v>1</c:v>
                </c:pt>
                <c:pt idx="49">
                  <c:v>2</c:v>
                </c:pt>
                <c:pt idx="50">
                  <c:v>1</c:v>
                </c:pt>
                <c:pt idx="51">
                  <c:v>8</c:v>
                </c:pt>
                <c:pt idx="52">
                  <c:v>1</c:v>
                </c:pt>
                <c:pt idx="53">
                  <c:v>2</c:v>
                </c:pt>
                <c:pt idx="54">
                  <c:v>5</c:v>
                </c:pt>
                <c:pt idx="55">
                  <c:v>18</c:v>
                </c:pt>
                <c:pt idx="56">
                  <c:v>7</c:v>
                </c:pt>
                <c:pt idx="57">
                  <c:v>2</c:v>
                </c:pt>
                <c:pt idx="58">
                  <c:v>2</c:v>
                </c:pt>
                <c:pt idx="59">
                  <c:v>0</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9"/>
                <c:pt idx="0">
                  <c:v>Care Group</c:v>
                </c:pt>
                <c:pt idx="1">
                  <c:v>Traverse City Area Public Schools</c:v>
                </c:pt>
                <c:pt idx="2">
                  <c:v>Papas Place Adult Day Care</c:v>
                </c:pt>
                <c:pt idx="3">
                  <c:v>Boyne Resorts</c:v>
                </c:pt>
                <c:pt idx="4">
                  <c:v>Rover</c:v>
                </c:pt>
                <c:pt idx="5">
                  <c:v>Big Sky Resort</c:v>
                </c:pt>
                <c:pt idx="6">
                  <c:v>Comfort Keepers</c:v>
                </c:pt>
                <c:pt idx="7">
                  <c:v>Onekama Consolidated Schools</c:v>
                </c:pt>
                <c:pt idx="8">
                  <c:v>Christina Evans</c:v>
                </c:pt>
              </c:strCache>
            </c:strRef>
          </c:cat>
          <c:val>
            <c:numRef>
              <c:f>'4F'!$G$5:$G$14</c:f>
              <c:numCache>
                <c:formatCode>#,##0</c:formatCode>
                <c:ptCount val="10"/>
                <c:pt idx="0">
                  <c:v>28</c:v>
                </c:pt>
                <c:pt idx="1">
                  <c:v>15</c:v>
                </c:pt>
                <c:pt idx="2">
                  <c:v>9</c:v>
                </c:pt>
                <c:pt idx="3">
                  <c:v>7</c:v>
                </c:pt>
                <c:pt idx="4">
                  <c:v>3</c:v>
                </c:pt>
                <c:pt idx="5">
                  <c:v>3</c:v>
                </c:pt>
                <c:pt idx="6">
                  <c:v>2</c:v>
                </c:pt>
                <c:pt idx="7">
                  <c:v>1</c:v>
                </c:pt>
                <c:pt idx="8">
                  <c:v>1</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17.659320962360489</c:v>
                </c:pt>
                <c:pt idx="1">
                  <c:v>18.1008039864195</c:v>
                </c:pt>
                <c:pt idx="2">
                  <c:v>18.553324086079986</c:v>
                </c:pt>
                <c:pt idx="3">
                  <c:v>19.017157188231984</c:v>
                </c:pt>
                <c:pt idx="4">
                  <c:v>19.492586117937783</c:v>
                </c:pt>
                <c:pt idx="5">
                  <c:v>19.979900770886225</c:v>
                </c:pt>
                <c:pt idx="6">
                  <c:v>20.479398290158379</c:v>
                </c:pt>
                <c:pt idx="7">
                  <c:v>20.991383247412337</c:v>
                </c:pt>
                <c:pt idx="8">
                  <c:v>21.516167828597645</c:v>
                </c:pt>
                <c:pt idx="9">
                  <c:v>22.054072024312585</c:v>
                </c:pt>
                <c:pt idx="10">
                  <c:v>22.605423824920397</c:v>
                </c:pt>
                <c:pt idx="11">
                  <c:v>23.170559420543405</c:v>
                </c:pt>
                <c:pt idx="12">
                  <c:v>23.74982340605699</c:v>
                </c:pt>
                <c:pt idx="13">
                  <c:v>24.343568991208414</c:v>
                </c:pt>
                <c:pt idx="14">
                  <c:v>24.952158215988621</c:v>
                </c:pt>
                <c:pt idx="15">
                  <c:v>25.575962171388333</c:v>
                </c:pt>
                <c:pt idx="16">
                  <c:v>26.215361225673039</c:v>
                </c:pt>
                <c:pt idx="17">
                  <c:v>26.870745256314862</c:v>
                </c:pt>
                <c:pt idx="18">
                  <c:v>27.54251388772273</c:v>
                </c:pt>
                <c:pt idx="19">
                  <c:v>28.231076734915796</c:v>
                </c:pt>
                <c:pt idx="20">
                  <c:v>28.936853653288686</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20.720267857142858</c:v>
                </c:pt>
                <c:pt idx="1">
                  <c:v>21.238274553571426</c:v>
                </c:pt>
                <c:pt idx="2">
                  <c:v>21.769231417410708</c:v>
                </c:pt>
                <c:pt idx="3">
                  <c:v>22.313462202845972</c:v>
                </c:pt>
                <c:pt idx="4">
                  <c:v>22.871298757917121</c:v>
                </c:pt>
                <c:pt idx="5">
                  <c:v>23.443081226865047</c:v>
                </c:pt>
                <c:pt idx="6">
                  <c:v>24.029158257536672</c:v>
                </c:pt>
                <c:pt idx="7">
                  <c:v>24.629887213975085</c:v>
                </c:pt>
                <c:pt idx="8">
                  <c:v>25.245634394324458</c:v>
                </c:pt>
                <c:pt idx="9">
                  <c:v>25.876775254182569</c:v>
                </c:pt>
                <c:pt idx="10">
                  <c:v>26.523694635537129</c:v>
                </c:pt>
                <c:pt idx="11">
                  <c:v>27.186787001425554</c:v>
                </c:pt>
                <c:pt idx="12">
                  <c:v>27.866456676461191</c:v>
                </c:pt>
                <c:pt idx="13">
                  <c:v>28.563118093372719</c:v>
                </c:pt>
                <c:pt idx="14">
                  <c:v>29.277196045707033</c:v>
                </c:pt>
                <c:pt idx="15">
                  <c:v>30.009125946849707</c:v>
                </c:pt>
                <c:pt idx="16">
                  <c:v>30.759354095520948</c:v>
                </c:pt>
                <c:pt idx="17">
                  <c:v>31.52833794790897</c:v>
                </c:pt>
                <c:pt idx="18">
                  <c:v>32.316546396606689</c:v>
                </c:pt>
                <c:pt idx="19">
                  <c:v>33.124460056521855</c:v>
                </c:pt>
                <c:pt idx="20">
                  <c:v>33.952571557934895</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22.792294642857147</c:v>
                </c:pt>
                <c:pt idx="1">
                  <c:v>23.362102008928574</c:v>
                </c:pt>
                <c:pt idx="2">
                  <c:v>23.946154559151786</c:v>
                </c:pt>
                <c:pt idx="3">
                  <c:v>24.544808423130579</c:v>
                </c:pt>
                <c:pt idx="4">
                  <c:v>25.158428633708841</c:v>
                </c:pt>
                <c:pt idx="5">
                  <c:v>25.78738934955156</c:v>
                </c:pt>
                <c:pt idx="6">
                  <c:v>26.432074083290345</c:v>
                </c:pt>
                <c:pt idx="7">
                  <c:v>27.0928759353726</c:v>
                </c:pt>
                <c:pt idx="8">
                  <c:v>27.770197833756914</c:v>
                </c:pt>
                <c:pt idx="9">
                  <c:v>28.464452779600833</c:v>
                </c:pt>
                <c:pt idx="10">
                  <c:v>29.176064099090851</c:v>
                </c:pt>
                <c:pt idx="11">
                  <c:v>29.905465701568119</c:v>
                </c:pt>
                <c:pt idx="12">
                  <c:v>30.653102344107317</c:v>
                </c:pt>
                <c:pt idx="13">
                  <c:v>31.419429902709997</c:v>
                </c:pt>
                <c:pt idx="14">
                  <c:v>32.204915650277741</c:v>
                </c:pt>
                <c:pt idx="15">
                  <c:v>33.010038541534684</c:v>
                </c:pt>
                <c:pt idx="16">
                  <c:v>33.83528950507305</c:v>
                </c:pt>
                <c:pt idx="17">
                  <c:v>34.681171742699874</c:v>
                </c:pt>
                <c:pt idx="18">
                  <c:v>35.548201036267365</c:v>
                </c:pt>
                <c:pt idx="19">
                  <c:v>36.436906062174046</c:v>
                </c:pt>
                <c:pt idx="20">
                  <c:v>37.347828713728397</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25.071524107142864</c:v>
                </c:pt>
                <c:pt idx="1">
                  <c:v>25.698312209821434</c:v>
                </c:pt>
                <c:pt idx="2">
                  <c:v>26.340770015066969</c:v>
                </c:pt>
                <c:pt idx="3">
                  <c:v>26.99928926544364</c:v>
                </c:pt>
                <c:pt idx="4">
                  <c:v>27.674271497079729</c:v>
                </c:pt>
                <c:pt idx="5">
                  <c:v>28.366128284506722</c:v>
                </c:pt>
                <c:pt idx="6">
                  <c:v>29.075281491619389</c:v>
                </c:pt>
                <c:pt idx="7">
                  <c:v>29.802163528909873</c:v>
                </c:pt>
                <c:pt idx="8">
                  <c:v>30.547217617132617</c:v>
                </c:pt>
                <c:pt idx="9">
                  <c:v>31.31089805756093</c:v>
                </c:pt>
                <c:pt idx="10">
                  <c:v>32.093670508999949</c:v>
                </c:pt>
                <c:pt idx="11">
                  <c:v>32.896012271724942</c:v>
                </c:pt>
                <c:pt idx="12">
                  <c:v>33.718412578518063</c:v>
                </c:pt>
                <c:pt idx="13">
                  <c:v>34.561372892981012</c:v>
                </c:pt>
                <c:pt idx="14">
                  <c:v>35.425407215305533</c:v>
                </c:pt>
                <c:pt idx="15">
                  <c:v>36.311042395688169</c:v>
                </c:pt>
                <c:pt idx="16">
                  <c:v>37.218818455580369</c:v>
                </c:pt>
                <c:pt idx="17">
                  <c:v>38.149288916969873</c:v>
                </c:pt>
                <c:pt idx="18">
                  <c:v>39.103021139894118</c:v>
                </c:pt>
                <c:pt idx="19">
                  <c:v>40.080596668391465</c:v>
                </c:pt>
                <c:pt idx="20">
                  <c:v>41.082611585101247</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2</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16.053928147600445</c:v>
                </c:pt>
                <c:pt idx="1">
                  <c:v>16.455276351290454</c:v>
                </c:pt>
                <c:pt idx="2">
                  <c:v>16.866658260072715</c:v>
                </c:pt>
                <c:pt idx="3">
                  <c:v>17.288324716574532</c:v>
                </c:pt>
                <c:pt idx="4">
                  <c:v>17.720532834488893</c:v>
                </c:pt>
                <c:pt idx="5">
                  <c:v>18.163546155351113</c:v>
                </c:pt>
                <c:pt idx="6">
                  <c:v>18.61763480923489</c:v>
                </c:pt>
                <c:pt idx="7">
                  <c:v>19.083075679465761</c:v>
                </c:pt>
                <c:pt idx="8">
                  <c:v>19.560152571452402</c:v>
                </c:pt>
                <c:pt idx="9">
                  <c:v>20.049156385738712</c:v>
                </c:pt>
                <c:pt idx="10">
                  <c:v>20.550385295382178</c:v>
                </c:pt>
                <c:pt idx="11">
                  <c:v>21.06414492776673</c:v>
                </c:pt>
                <c:pt idx="12">
                  <c:v>21.590748550960896</c:v>
                </c:pt>
                <c:pt idx="13">
                  <c:v>22.130517264734916</c:v>
                </c:pt>
                <c:pt idx="14">
                  <c:v>22.683780196353286</c:v>
                </c:pt>
                <c:pt idx="15">
                  <c:v>23.250874701262116</c:v>
                </c:pt>
                <c:pt idx="16">
                  <c:v>23.832146568793668</c:v>
                </c:pt>
                <c:pt idx="17">
                  <c:v>24.427950233013508</c:v>
                </c:pt>
                <c:pt idx="18">
                  <c:v>25.038648988838844</c:v>
                </c:pt>
                <c:pt idx="19">
                  <c:v>25.664615213559813</c:v>
                </c:pt>
                <c:pt idx="20">
                  <c:v>26.306230593898807</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18.83660714285714</c:v>
                </c:pt>
                <c:pt idx="1">
                  <c:v>19.307522321428568</c:v>
                </c:pt>
                <c:pt idx="2">
                  <c:v>19.790210379464281</c:v>
                </c:pt>
                <c:pt idx="3">
                  <c:v>20.284965638950887</c:v>
                </c:pt>
                <c:pt idx="4">
                  <c:v>20.792089779924655</c:v>
                </c:pt>
                <c:pt idx="5">
                  <c:v>21.311892024422772</c:v>
                </c:pt>
                <c:pt idx="6">
                  <c:v>21.84468932503334</c:v>
                </c:pt>
                <c:pt idx="7">
                  <c:v>22.39080655815917</c:v>
                </c:pt>
                <c:pt idx="8">
                  <c:v>22.950576722113148</c:v>
                </c:pt>
                <c:pt idx="9">
                  <c:v>23.524341140165973</c:v>
                </c:pt>
                <c:pt idx="10">
                  <c:v>24.11244966867012</c:v>
                </c:pt>
                <c:pt idx="11">
                  <c:v>24.715260910386871</c:v>
                </c:pt>
                <c:pt idx="12">
                  <c:v>25.333142433146541</c:v>
                </c:pt>
                <c:pt idx="13">
                  <c:v>25.966470993975204</c:v>
                </c:pt>
                <c:pt idx="14">
                  <c:v>26.615632768824582</c:v>
                </c:pt>
                <c:pt idx="15">
                  <c:v>27.281023588045194</c:v>
                </c:pt>
                <c:pt idx="16">
                  <c:v>27.963049177746321</c:v>
                </c:pt>
                <c:pt idx="17">
                  <c:v>28.662125407189976</c:v>
                </c:pt>
                <c:pt idx="18">
                  <c:v>29.378678542369723</c:v>
                </c:pt>
                <c:pt idx="19">
                  <c:v>30.113145505928962</c:v>
                </c:pt>
                <c:pt idx="20">
                  <c:v>30.865974143577183</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20.720267857142854</c:v>
                </c:pt>
                <c:pt idx="1">
                  <c:v>21.238274553571422</c:v>
                </c:pt>
                <c:pt idx="2">
                  <c:v>21.769231417410705</c:v>
                </c:pt>
                <c:pt idx="3">
                  <c:v>22.313462202845969</c:v>
                </c:pt>
                <c:pt idx="4">
                  <c:v>22.871298757917117</c:v>
                </c:pt>
                <c:pt idx="5">
                  <c:v>23.443081226865043</c:v>
                </c:pt>
                <c:pt idx="6">
                  <c:v>24.029158257536668</c:v>
                </c:pt>
                <c:pt idx="7">
                  <c:v>24.629887213975081</c:v>
                </c:pt>
                <c:pt idx="8">
                  <c:v>25.245634394324455</c:v>
                </c:pt>
                <c:pt idx="9">
                  <c:v>25.876775254182565</c:v>
                </c:pt>
                <c:pt idx="10">
                  <c:v>26.523694635537126</c:v>
                </c:pt>
                <c:pt idx="11">
                  <c:v>27.18678700142555</c:v>
                </c:pt>
                <c:pt idx="12">
                  <c:v>27.866456676461187</c:v>
                </c:pt>
                <c:pt idx="13">
                  <c:v>28.563118093372715</c:v>
                </c:pt>
                <c:pt idx="14">
                  <c:v>29.277196045707029</c:v>
                </c:pt>
                <c:pt idx="15">
                  <c:v>30.009125946849704</c:v>
                </c:pt>
                <c:pt idx="16">
                  <c:v>30.759354095520944</c:v>
                </c:pt>
                <c:pt idx="17">
                  <c:v>31.528337947908966</c:v>
                </c:pt>
                <c:pt idx="18">
                  <c:v>32.316546396606689</c:v>
                </c:pt>
                <c:pt idx="19">
                  <c:v>33.124460056521855</c:v>
                </c:pt>
                <c:pt idx="20">
                  <c:v>33.952571557934895</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22.79229464285714</c:v>
                </c:pt>
                <c:pt idx="1">
                  <c:v>23.362102008928566</c:v>
                </c:pt>
                <c:pt idx="2">
                  <c:v>23.946154559151779</c:v>
                </c:pt>
                <c:pt idx="3">
                  <c:v>24.544808423130572</c:v>
                </c:pt>
                <c:pt idx="4">
                  <c:v>25.158428633708834</c:v>
                </c:pt>
                <c:pt idx="5">
                  <c:v>25.787389349551553</c:v>
                </c:pt>
                <c:pt idx="6">
                  <c:v>26.432074083290338</c:v>
                </c:pt>
                <c:pt idx="7">
                  <c:v>27.092875935372593</c:v>
                </c:pt>
                <c:pt idx="8">
                  <c:v>27.770197833756907</c:v>
                </c:pt>
                <c:pt idx="9">
                  <c:v>28.464452779600826</c:v>
                </c:pt>
                <c:pt idx="10">
                  <c:v>29.176064099090844</c:v>
                </c:pt>
                <c:pt idx="11">
                  <c:v>29.905465701568112</c:v>
                </c:pt>
                <c:pt idx="12">
                  <c:v>30.65310234410731</c:v>
                </c:pt>
                <c:pt idx="13">
                  <c:v>31.419429902709989</c:v>
                </c:pt>
                <c:pt idx="14">
                  <c:v>32.204915650277734</c:v>
                </c:pt>
                <c:pt idx="15">
                  <c:v>33.010038541534676</c:v>
                </c:pt>
                <c:pt idx="16">
                  <c:v>33.835289505073042</c:v>
                </c:pt>
                <c:pt idx="17">
                  <c:v>34.681171742699867</c:v>
                </c:pt>
                <c:pt idx="18">
                  <c:v>35.548201036267358</c:v>
                </c:pt>
                <c:pt idx="19">
                  <c:v>36.436906062174039</c:v>
                </c:pt>
                <c:pt idx="20">
                  <c:v>37.34782871372839</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1.8181818181818181E-2</c:v>
                </c:pt>
                <c:pt idx="1">
                  <c:v>0.10909090909090909</c:v>
                </c:pt>
                <c:pt idx="2">
                  <c:v>0.18181818181818182</c:v>
                </c:pt>
                <c:pt idx="3">
                  <c:v>0.21818181818181817</c:v>
                </c:pt>
                <c:pt idx="4">
                  <c:v>0.21818181818181817</c:v>
                </c:pt>
                <c:pt idx="5">
                  <c:v>0.16363636363636364</c:v>
                </c:pt>
                <c:pt idx="6">
                  <c:v>9.0909090909090912E-2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0.83636363636363631</c:v>
                </c:pt>
                <c:pt idx="1">
                  <c:v>9.0909090909090912E-2</c:v>
                </c:pt>
                <c:pt idx="2">
                  <c:v>3.6363636363636362E-2</c:v>
                </c:pt>
                <c:pt idx="3">
                  <c:v>3.6363636363636362E-2</c:v>
                </c:pt>
                <c:pt idx="4">
                  <c:v>1.8181818181818181E-2</c:v>
                </c:pt>
                <c:pt idx="5">
                  <c:v>0</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26.1</c:v>
                </c:pt>
                <c:pt idx="1">
                  <c:v>20.16</c:v>
                </c:pt>
                <c:pt idx="2">
                  <c:v>14.99</c:v>
                </c:pt>
                <c:pt idx="3">
                  <c:v>18.239999999999998</c:v>
                </c:pt>
                <c:pt idx="4">
                  <c:v>17.39</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1"/>
              <c:layout>
                <c:manualLayout>
                  <c:x val="3.6466237174898594E-2"/>
                  <c:y val="0.2329010310960133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6-440B-AC96-5DBE775B7D57}"/>
                </c:ext>
              </c:extLst>
            </c:dLbl>
            <c:dLbl>
              <c:idx val="2"/>
              <c:layout>
                <c:manualLayout>
                  <c:x val="-4.9075910965674742E-2"/>
                  <c:y val="4.22472279398711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7.9957391689675153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delete val="1"/>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0.67796610169491522</c:v>
                </c:pt>
                <c:pt idx="1">
                  <c:v>2.9661016949152543E-2</c:v>
                </c:pt>
                <c:pt idx="2">
                  <c:v>1.6949152542372881E-2</c:v>
                </c:pt>
                <c:pt idx="3">
                  <c:v>8.4745762711864406E-3</c:v>
                </c:pt>
                <c:pt idx="4">
                  <c:v>4.2372881355932203E-3</c:v>
                </c:pt>
                <c:pt idx="5">
                  <c:v>0</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E07D-4DA9-8104-144E058B8686}"/>
              </c:ext>
            </c:extLst>
          </c:dPt>
          <c:dPt>
            <c:idx val="2"/>
            <c:invertIfNegative val="0"/>
            <c:bubble3D val="0"/>
            <c:spPr>
              <a:solidFill>
                <a:srgbClr val="003E51"/>
              </a:solidFill>
              <a:ln>
                <a:noFill/>
              </a:ln>
              <a:effectLst/>
            </c:spPr>
            <c:extLst>
              <c:ext xmlns:c16="http://schemas.microsoft.com/office/drawing/2014/chart" uri="{C3380CC4-5D6E-409C-BE32-E72D297353CC}">
                <c16:uniqueId val="{00000003-E7F0-4023-BF08-AFDAF5CEAC46}"/>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E07D-4DA9-8104-144E058B8686}"/>
                </c:ext>
              </c:extLst>
            </c:dLbl>
            <c:dLbl>
              <c:idx val="1"/>
              <c:layout>
                <c:manualLayout>
                  <c:x val="-9.0439183701385862E-3"/>
                  <c:y val="-6.3492063492063492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7D-4DA9-8104-144E058B8686}"/>
                </c:ext>
              </c:extLst>
            </c:dLbl>
            <c:dLbl>
              <c:idx val="2"/>
              <c:layout>
                <c:manualLayout>
                  <c:x val="-2.2063658980738077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F0-4023-BF08-AFDAF5CEAC46}"/>
                </c:ext>
              </c:extLst>
            </c:dLbl>
            <c:dLbl>
              <c:idx val="5"/>
              <c:layout>
                <c:manualLayout>
                  <c:x val="-6.590953003838689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Tutor</c:v>
                </c:pt>
                <c:pt idx="1">
                  <c:v>Substitute</c:v>
                </c:pt>
                <c:pt idx="2">
                  <c:v>Self-Enrichment Teacher</c:v>
                </c:pt>
                <c:pt idx="3">
                  <c:v>Customer Service Representative</c:v>
                </c:pt>
                <c:pt idx="4">
                  <c:v>Administrative Assistant</c:v>
                </c:pt>
                <c:pt idx="5">
                  <c:v>Kindergarten Teacher</c:v>
                </c:pt>
              </c:strCache>
            </c:strRef>
          </c:cat>
          <c:val>
            <c:numRef>
              <c:f>'5C'!$Z$29:$Z$34</c:f>
              <c:numCache>
                <c:formatCode>"$"#,##0.00</c:formatCode>
                <c:ptCount val="6"/>
                <c:pt idx="0">
                  <c:v>-0.39</c:v>
                </c:pt>
                <c:pt idx="1">
                  <c:v>-0.16</c:v>
                </c:pt>
                <c:pt idx="2" formatCode="_(&quot;$&quot;* #,##0.00_);_(&quot;$&quot;* \(#,##0.00\);_(&quot;$&quot;* &quot;-&quot;??_);_(@_)">
                  <c:v>1.5199999999999996</c:v>
                </c:pt>
                <c:pt idx="3" formatCode="_(&quot;$&quot;* #,##0.00_);_(&quot;$&quot;* \(#,##0.00\);_(&quot;$&quot;* &quot;-&quot;??_);_(@_)">
                  <c:v>3.74</c:v>
                </c:pt>
                <c:pt idx="4" formatCode="_(&quot;$&quot;* #,##0.00_);_(&quot;$&quot;* \(#,##0.00\);_(&quot;$&quot;* &quot;-&quot;??_);_(@_)">
                  <c:v>4.8400000000000016</c:v>
                </c:pt>
                <c:pt idx="5" formatCode="_(&quot;$&quot;* #,##0.00_);_(&quot;$&quot;* \(#,##0.00\);_(&quot;$&quot;* &quot;-&quot;??_);_(@_)">
                  <c:v>5.2899999999999991</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2</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0.1276595744680851</c:v>
                </c:pt>
                <c:pt idx="2">
                  <c:v>0.25</c:v>
                </c:pt>
                <c:pt idx="3">
                  <c:v>0.3271276595744681</c:v>
                </c:pt>
                <c:pt idx="4">
                  <c:v>0.39095744680851063</c:v>
                </c:pt>
                <c:pt idx="5">
                  <c:v>0.10372340425531915</c:v>
                </c:pt>
                <c:pt idx="6">
                  <c:v>-0.25</c:v>
                </c:pt>
                <c:pt idx="7">
                  <c:v>-0.25797872340425532</c:v>
                </c:pt>
                <c:pt idx="8">
                  <c:v>-0.27127659574468083</c:v>
                </c:pt>
                <c:pt idx="9">
                  <c:v>-0.27127659574468083</c:v>
                </c:pt>
                <c:pt idx="10">
                  <c:v>-0.20212765957446807</c:v>
                </c:pt>
                <c:pt idx="11">
                  <c:v>-7.9787234042553196E-2</c:v>
                </c:pt>
                <c:pt idx="12">
                  <c:v>-2.3936170212765957E-2</c:v>
                </c:pt>
                <c:pt idx="13">
                  <c:v>-7.9787234042553185E-3</c:v>
                </c:pt>
                <c:pt idx="14">
                  <c:v>0.125</c:v>
                </c:pt>
                <c:pt idx="15">
                  <c:v>0.18617021276595744</c:v>
                </c:pt>
                <c:pt idx="16">
                  <c:v>0.48138297872340424</c:v>
                </c:pt>
                <c:pt idx="17">
                  <c:v>0.12234042553191489</c:v>
                </c:pt>
                <c:pt idx="18">
                  <c:v>-0.37234042553191488</c:v>
                </c:pt>
                <c:pt idx="19">
                  <c:v>-0.84042553191489366</c:v>
                </c:pt>
                <c:pt idx="20">
                  <c:v>-0.84840425531914898</c:v>
                </c:pt>
                <c:pt idx="21">
                  <c:v>-0.85372340425531912</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2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-0.1725085910652922</c:v>
                </c:pt>
                <c:pt idx="2">
                  <c:v>2.7491408934707316E-3</c:v>
                </c:pt>
                <c:pt idx="3">
                  <c:v>-1.9931271477663291E-2</c:v>
                </c:pt>
                <c:pt idx="4">
                  <c:v>0.10171821305841927</c:v>
                </c:pt>
                <c:pt idx="5">
                  <c:v>8.4536082474226712E-2</c:v>
                </c:pt>
                <c:pt idx="6">
                  <c:v>9.7594501718213045E-2</c:v>
                </c:pt>
                <c:pt idx="7">
                  <c:v>-0.23573883161512035</c:v>
                </c:pt>
                <c:pt idx="8">
                  <c:v>-0.25017182130584192</c:v>
                </c:pt>
                <c:pt idx="9">
                  <c:v>-0.23092783505154646</c:v>
                </c:pt>
                <c:pt idx="10">
                  <c:v>-0.25498281786941585</c:v>
                </c:pt>
                <c:pt idx="11">
                  <c:v>-0.21786941580756011</c:v>
                </c:pt>
                <c:pt idx="12">
                  <c:v>-0.17044673539518904</c:v>
                </c:pt>
                <c:pt idx="13">
                  <c:v>-0.138831615120275</c:v>
                </c:pt>
                <c:pt idx="14">
                  <c:v>-0.10034364261168391</c:v>
                </c:pt>
                <c:pt idx="15">
                  <c:v>-0.12371134020618561</c:v>
                </c:pt>
                <c:pt idx="16">
                  <c:v>-0.1958762886597939</c:v>
                </c:pt>
                <c:pt idx="17">
                  <c:v>-1.0996563573883171E-2</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0.12790000000000001</c:v>
                </c:pt>
                <c:pt idx="2">
                  <c:v>8.9300000000000004E-2</c:v>
                </c:pt>
                <c:pt idx="3">
                  <c:v>6.3E-2</c:v>
                </c:pt>
                <c:pt idx="4">
                  <c:v>6.3E-2</c:v>
                </c:pt>
                <c:pt idx="5">
                  <c:v>0.06</c:v>
                </c:pt>
                <c:pt idx="6">
                  <c:v>5.8700000000000002E-2</c:v>
                </c:pt>
                <c:pt idx="7">
                  <c:v>5.6599999999999998E-2</c:v>
                </c:pt>
                <c:pt idx="8">
                  <c:v>5.1389999999999998E-2</c:v>
                </c:pt>
                <c:pt idx="9">
                  <c:v>5.0999999999999997E-2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0.17299999999999999</c:v>
                </c:pt>
                <c:pt idx="1">
                  <c:v>0.14774999999999999</c:v>
                </c:pt>
                <c:pt idx="2">
                  <c:v>0.14099999999999999</c:v>
                </c:pt>
                <c:pt idx="3">
                  <c:v>0.13300000000000001</c:v>
                </c:pt>
                <c:pt idx="4">
                  <c:v>0.13</c:v>
                </c:pt>
                <c:pt idx="5">
                  <c:v>6.0999999999999999E-2</c:v>
                </c:pt>
                <c:pt idx="6">
                  <c:v>5.8000000000000003E-2</c:v>
                </c:pt>
                <c:pt idx="7">
                  <c:v>5.57E-2</c:v>
                </c:pt>
                <c:pt idx="8">
                  <c:v>5.024E-2</c:v>
                </c:pt>
                <c:pt idx="9">
                  <c:v>4.8899999999999999E-2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0</c:v>
                </c:pt>
                <c:pt idx="1">
                  <c:v>1</c:v>
                </c:pt>
                <c:pt idx="2">
                  <c:v>1</c:v>
                </c:pt>
                <c:pt idx="3">
                  <c:v>0</c:v>
                </c:pt>
                <c:pt idx="4">
                  <c:v>0</c:v>
                </c:pt>
                <c:pt idx="5">
                  <c:v>1</c:v>
                </c:pt>
                <c:pt idx="6">
                  <c:v>1</c:v>
                </c:pt>
                <c:pt idx="7">
                  <c:v>2</c:v>
                </c:pt>
                <c:pt idx="8">
                  <c:v>3</c:v>
                </c:pt>
                <c:pt idx="9">
                  <c:v>0</c:v>
                </c:pt>
                <c:pt idx="10">
                  <c:v>5</c:v>
                </c:pt>
                <c:pt idx="11">
                  <c:v>0</c:v>
                </c:pt>
                <c:pt idx="12">
                  <c:v>5</c:v>
                </c:pt>
                <c:pt idx="13">
                  <c:v>0</c:v>
                </c:pt>
                <c:pt idx="14">
                  <c:v>2</c:v>
                </c:pt>
                <c:pt idx="15">
                  <c:v>2</c:v>
                </c:pt>
                <c:pt idx="16">
                  <c:v>0</c:v>
                </c:pt>
                <c:pt idx="17">
                  <c:v>0</c:v>
                </c:pt>
                <c:pt idx="18">
                  <c:v>0</c:v>
                </c:pt>
                <c:pt idx="19">
                  <c:v>0</c:v>
                </c:pt>
                <c:pt idx="20">
                  <c:v>0</c:v>
                </c:pt>
                <c:pt idx="21">
                  <c:v>0</c:v>
                </c:pt>
                <c:pt idx="22">
                  <c:v>0</c:v>
                </c:pt>
                <c:pt idx="23">
                  <c:v>0</c:v>
                </c:pt>
                <c:pt idx="24">
                  <c:v>5</c:v>
                </c:pt>
                <c:pt idx="25">
                  <c:v>6</c:v>
                </c:pt>
                <c:pt idx="26">
                  <c:v>1</c:v>
                </c:pt>
                <c:pt idx="27">
                  <c:v>0</c:v>
                </c:pt>
                <c:pt idx="28">
                  <c:v>2</c:v>
                </c:pt>
                <c:pt idx="29">
                  <c:v>0</c:v>
                </c:pt>
                <c:pt idx="30">
                  <c:v>0</c:v>
                </c:pt>
                <c:pt idx="31">
                  <c:v>0</c:v>
                </c:pt>
                <c:pt idx="32">
                  <c:v>0</c:v>
                </c:pt>
                <c:pt idx="33">
                  <c:v>0</c:v>
                </c:pt>
                <c:pt idx="34">
                  <c:v>0</c:v>
                </c:pt>
                <c:pt idx="35">
                  <c:v>1</c:v>
                </c:pt>
                <c:pt idx="36">
                  <c:v>1</c:v>
                </c:pt>
                <c:pt idx="37">
                  <c:v>1</c:v>
                </c:pt>
                <c:pt idx="38">
                  <c:v>2</c:v>
                </c:pt>
                <c:pt idx="39">
                  <c:v>0</c:v>
                </c:pt>
                <c:pt idx="40">
                  <c:v>1</c:v>
                </c:pt>
                <c:pt idx="41">
                  <c:v>1</c:v>
                </c:pt>
                <c:pt idx="42">
                  <c:v>0</c:v>
                </c:pt>
                <c:pt idx="43">
                  <c:v>1</c:v>
                </c:pt>
                <c:pt idx="44">
                  <c:v>0</c:v>
                </c:pt>
                <c:pt idx="45">
                  <c:v>0</c:v>
                </c:pt>
                <c:pt idx="46">
                  <c:v>7</c:v>
                </c:pt>
                <c:pt idx="47">
                  <c:v>4</c:v>
                </c:pt>
                <c:pt idx="48">
                  <c:v>5</c:v>
                </c:pt>
                <c:pt idx="49">
                  <c:v>2</c:v>
                </c:pt>
                <c:pt idx="50">
                  <c:v>2</c:v>
                </c:pt>
                <c:pt idx="51">
                  <c:v>2</c:v>
                </c:pt>
                <c:pt idx="52">
                  <c:v>1</c:v>
                </c:pt>
                <c:pt idx="53">
                  <c:v>0</c:v>
                </c:pt>
                <c:pt idx="54">
                  <c:v>0</c:v>
                </c:pt>
                <c:pt idx="55">
                  <c:v>1</c:v>
                </c:pt>
                <c:pt idx="56">
                  <c:v>1</c:v>
                </c:pt>
                <c:pt idx="57">
                  <c:v>0</c:v>
                </c:pt>
                <c:pt idx="58">
                  <c:v>0</c:v>
                </c:pt>
                <c:pt idx="59">
                  <c:v>0</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Traverse City Area Public Schools</c:v>
                </c:pt>
                <c:pt idx="1">
                  <c:v>Silver Lake Elementary School</c:v>
                </c:pt>
                <c:pt idx="2">
                  <c:v>Ess</c:v>
                </c:pt>
                <c:pt idx="3">
                  <c:v>Solutionwhere</c:v>
                </c:pt>
                <c:pt idx="4">
                  <c:v>Courtade Elementary School</c:v>
                </c:pt>
                <c:pt idx="5">
                  <c:v>Charlevoix-emmet Isd</c:v>
                </c:pt>
                <c:pt idx="6">
                  <c:v>Central High School</c:v>
                </c:pt>
                <c:pt idx="7">
                  <c:v>Tcaps Montessori School</c:v>
                </c:pt>
                <c:pt idx="8">
                  <c:v>Onekama Consolidated Schools</c:v>
                </c:pt>
                <c:pt idx="9">
                  <c:v>Eastern Elementary School</c:v>
                </c:pt>
              </c:strCache>
            </c:strRef>
          </c:cat>
          <c:val>
            <c:numRef>
              <c:f>'5F'!$G$5:$G$14</c:f>
              <c:numCache>
                <c:formatCode>#,##0</c:formatCode>
                <c:ptCount val="10"/>
                <c:pt idx="0">
                  <c:v>9</c:v>
                </c:pt>
                <c:pt idx="1">
                  <c:v>3</c:v>
                </c:pt>
                <c:pt idx="2">
                  <c:v>2</c:v>
                </c:pt>
                <c:pt idx="3">
                  <c:v>2</c:v>
                </c:pt>
                <c:pt idx="4">
                  <c:v>2</c:v>
                </c:pt>
                <c:pt idx="5">
                  <c:v>1</c:v>
                </c:pt>
                <c:pt idx="6">
                  <c:v>1</c:v>
                </c:pt>
                <c:pt idx="7">
                  <c:v>1</c:v>
                </c:pt>
                <c:pt idx="8">
                  <c:v>1</c:v>
                </c:pt>
                <c:pt idx="9">
                  <c:v>1</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28.64</c:v>
                </c:pt>
                <c:pt idx="1">
                  <c:v>20.16</c:v>
                </c:pt>
                <c:pt idx="2">
                  <c:v>16.510000000000002</c:v>
                </c:pt>
                <c:pt idx="3">
                  <c:v>20.11</c:v>
                </c:pt>
                <c:pt idx="4">
                  <c:v>18.34</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003E51"/>
              </a:solidFill>
              <a:ln>
                <a:noFill/>
              </a:ln>
              <a:effectLst/>
            </c:spPr>
            <c:extLst>
              <c:ext xmlns:c16="http://schemas.microsoft.com/office/drawing/2014/chart" uri="{C3380CC4-5D6E-409C-BE32-E72D297353CC}">
                <c16:uniqueId val="{00000003-75B2-4DEC-9FEF-0D4561803B35}"/>
              </c:ext>
            </c:extLst>
          </c:dPt>
          <c:dPt>
            <c:idx val="1"/>
            <c:invertIfNegative val="0"/>
            <c:bubble3D val="0"/>
            <c:spPr>
              <a:solidFill>
                <a:srgbClr val="003E51"/>
              </a:solidFill>
              <a:ln>
                <a:noFill/>
              </a:ln>
              <a:effectLst/>
            </c:spPr>
            <c:extLst>
              <c:ext xmlns:c16="http://schemas.microsoft.com/office/drawing/2014/chart" uri="{C3380CC4-5D6E-409C-BE32-E72D297353CC}">
                <c16:uniqueId val="{00000000-C04A-4EAE-AB2E-0DBDFAB1B445}"/>
              </c:ext>
            </c:extLst>
          </c:dPt>
          <c:dPt>
            <c:idx val="2"/>
            <c:invertIfNegative val="0"/>
            <c:bubble3D val="0"/>
            <c:spPr>
              <a:solidFill>
                <a:srgbClr val="D45D00"/>
              </a:solidFill>
              <a:ln>
                <a:noFill/>
              </a:ln>
              <a:effectLst/>
            </c:spPr>
            <c:extLst>
              <c:ext xmlns:c16="http://schemas.microsoft.com/office/drawing/2014/chart" uri="{C3380CC4-5D6E-409C-BE32-E72D297353CC}">
                <c16:uniqueId val="{00000002-75B2-4DEC-9FEF-0D4561803B35}"/>
              </c:ext>
            </c:extLst>
          </c:dPt>
          <c:dLbls>
            <c:dLbl>
              <c:idx val="0"/>
              <c:layout>
                <c:manualLayout>
                  <c:x val="-1.2587139962553541E-2"/>
                  <c:y val="-1.1640077173046852E-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2-4DEC-9FEF-0D4561803B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Self-Enrichment Teacher</c:v>
                </c:pt>
                <c:pt idx="1">
                  <c:v>Kindergarten Teacher</c:v>
                </c:pt>
                <c:pt idx="2">
                  <c:v>Lead Teacher</c:v>
                </c:pt>
                <c:pt idx="3">
                  <c:v>Bank Teller</c:v>
                </c:pt>
                <c:pt idx="4">
                  <c:v>Office Clerk</c:v>
                </c:pt>
                <c:pt idx="5">
                  <c:v>Psychiatric Aide</c:v>
                </c:pt>
              </c:strCache>
            </c:strRef>
          </c:cat>
          <c:val>
            <c:numRef>
              <c:f>'2C'!$Z$29:$Z$34</c:f>
              <c:numCache>
                <c:formatCode>"$"#,##0.00</c:formatCode>
                <c:ptCount val="6"/>
                <c:pt idx="0">
                  <c:v>1.52</c:v>
                </c:pt>
                <c:pt idx="1">
                  <c:v>5.2899999999999991</c:v>
                </c:pt>
                <c:pt idx="2">
                  <c:v>5.39</c:v>
                </c:pt>
                <c:pt idx="3">
                  <c:v>5.73</c:v>
                </c:pt>
                <c:pt idx="4">
                  <c:v>6.16</c:v>
                </c:pt>
                <c:pt idx="5">
                  <c:v>9.4300000000000015</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2</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2.4875621890547265E-2</c:v>
                </c:pt>
                <c:pt idx="2">
                  <c:v>3.482587064676617E-2</c:v>
                </c:pt>
                <c:pt idx="3">
                  <c:v>9.9502487562189053E-3</c:v>
                </c:pt>
                <c:pt idx="4">
                  <c:v>0</c:v>
                </c:pt>
                <c:pt idx="5">
                  <c:v>0.14427860696517414</c:v>
                </c:pt>
                <c:pt idx="6">
                  <c:v>0.15920398009950248</c:v>
                </c:pt>
                <c:pt idx="7">
                  <c:v>0.2537313432835821</c:v>
                </c:pt>
                <c:pt idx="8">
                  <c:v>0.36815920398009949</c:v>
                </c:pt>
                <c:pt idx="9">
                  <c:v>0.45771144278606968</c:v>
                </c:pt>
                <c:pt idx="10">
                  <c:v>0.39303482587064675</c:v>
                </c:pt>
                <c:pt idx="11">
                  <c:v>0.3383084577114428</c:v>
                </c:pt>
                <c:pt idx="12">
                  <c:v>0.39303482587064675</c:v>
                </c:pt>
                <c:pt idx="13">
                  <c:v>0.44776119402985076</c:v>
                </c:pt>
                <c:pt idx="14">
                  <c:v>0.52736318407960203</c:v>
                </c:pt>
                <c:pt idx="15">
                  <c:v>0.64179104477611937</c:v>
                </c:pt>
                <c:pt idx="16">
                  <c:v>0.82587064676616917</c:v>
                </c:pt>
                <c:pt idx="17">
                  <c:v>0.77611940298507465</c:v>
                </c:pt>
                <c:pt idx="18">
                  <c:v>0.76119402985074625</c:v>
                </c:pt>
                <c:pt idx="19">
                  <c:v>0.13930348258706468</c:v>
                </c:pt>
                <c:pt idx="20">
                  <c:v>-7.9601990049751242E-2</c:v>
                </c:pt>
                <c:pt idx="21">
                  <c:v>-0.12935323383084577</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3.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4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38100</xdr:rowOff>
    </xdr:from>
    <xdr:to>
      <xdr:col>2</xdr:col>
      <xdr:colOff>2676525</xdr:colOff>
      <xdr:row>49</xdr:row>
      <xdr:rowOff>95250</xdr:rowOff>
    </xdr:to>
    <xdr:sp macro="" textlink="">
      <xdr:nvSpPr>
        <xdr:cNvPr id="2" name="TextBox 1">
          <a:extLst>
            <a:ext uri="{FF2B5EF4-FFF2-40B4-BE49-F238E27FC236}">
              <a16:creationId xmlns:a16="http://schemas.microsoft.com/office/drawing/2014/main" id="{647446AC-097E-464D-B7C0-6B8C036A347E}"/>
            </a:ext>
          </a:extLst>
        </xdr:cNvPr>
        <xdr:cNvSpPr txBox="1"/>
      </xdr:nvSpPr>
      <xdr:spPr>
        <a:xfrm>
          <a:off x="0" y="8972550"/>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28575</xdr:rowOff>
    </xdr:from>
    <xdr:to>
      <xdr:col>2</xdr:col>
      <xdr:colOff>339090</xdr:colOff>
      <xdr:row>46</xdr:row>
      <xdr:rowOff>20955</xdr:rowOff>
    </xdr:to>
    <xdr:pic>
      <xdr:nvPicPr>
        <xdr:cNvPr id="3" name="Picture 27">
          <a:extLst>
            <a:ext uri="{FF2B5EF4-FFF2-40B4-BE49-F238E27FC236}">
              <a16:creationId xmlns:a16="http://schemas.microsoft.com/office/drawing/2014/main" id="{9DE63572-250C-49FD-8742-349925E5FB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39125"/>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2</a:t>
            </a:r>
          </a:p>
        </xdr:txBody>
      </xdr:sp>
    </xdr:grpSp>
    <xdr:clientData/>
  </xdr:twoCellAnchor>
  <xdr:twoCellAnchor>
    <xdr:from>
      <xdr:col>1</xdr:col>
      <xdr:colOff>47626</xdr:colOff>
      <xdr:row>64</xdr:row>
      <xdr:rowOff>114300</xdr:rowOff>
    </xdr:from>
    <xdr:to>
      <xdr:col>2</xdr:col>
      <xdr:colOff>676276</xdr:colOff>
      <xdr:row>66</xdr:row>
      <xdr:rowOff>123825</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714376" y="1257300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2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2,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99060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63151" cy="4981575"/>
          <a:chOff x="2571749" y="704319"/>
          <a:chExt cx="9896348"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114547" y="3587847"/>
            <a:ext cx="9353550" cy="680630"/>
            <a:chOff x="3114547" y="3587847"/>
            <a:chExt cx="9353550"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114547" y="387604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905998" y="358784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$27.29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85726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63151" cy="4943475"/>
          <a:chOff x="2571749" y="704319"/>
          <a:chExt cx="9896348"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114547" y="3504133"/>
            <a:ext cx="9353550" cy="680630"/>
            <a:chOff x="3114547" y="3504133"/>
            <a:chExt cx="9353550"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114547" y="3772648"/>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905998" y="350413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$27.29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2,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2, 2022</a:t>
            </a:r>
          </a:p>
        </xdr:txBody>
      </xdr:sp>
    </xdr:grpSp>
    <xdr:clientData/>
  </xdr:twoCellAnchor>
  <xdr:twoCellAnchor>
    <xdr:from>
      <xdr:col>8</xdr:col>
      <xdr:colOff>428625</xdr:colOff>
      <xdr:row>13</xdr:row>
      <xdr:rowOff>142875</xdr:rowOff>
    </xdr:from>
    <xdr:to>
      <xdr:col>10</xdr:col>
      <xdr:colOff>276225</xdr:colOff>
      <xdr:row>24</xdr:row>
      <xdr:rowOff>10002</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43225" cy="1962627"/>
          <a:chOff x="3933825" y="4419600"/>
          <a:chExt cx="2943225" cy="1962627"/>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43350" y="4714875"/>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2,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2,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90.9%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9.1%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12</xdr:col>
      <xdr:colOff>9525</xdr:colOff>
      <xdr:row>17</xdr:row>
      <xdr:rowOff>57150</xdr:rowOff>
    </xdr:from>
    <xdr:to>
      <xdr:col>17</xdr:col>
      <xdr:colOff>257175</xdr:colOff>
      <xdr:row>20</xdr:row>
      <xdr:rowOff>133350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87125" y="32861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83151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2,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418575"/>
                <a:ext cx="8613540"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9" y="2399188"/>
                <a:ext cx="2832077"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$14.13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2" y="2147568"/>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1976376"/>
              <a:ext cx="2826698" cy="585501"/>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$18.84</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6" y="1796616"/>
            <a:ext cx="8278268"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7" y="1293881"/>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$20.72</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264560</xdr:colOff>
      <xdr:row>27</xdr:row>
      <xdr:rowOff>35852</xdr:rowOff>
    </xdr:from>
    <xdr:to>
      <xdr:col>28</xdr:col>
      <xdr:colOff>331235</xdr:colOff>
      <xdr:row>37</xdr:row>
      <xdr:rowOff>104668</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342760" y="5674652"/>
          <a:ext cx="2924175" cy="2002391"/>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2</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2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2,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104775</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44574" y="177165"/>
          <a:ext cx="9944101" cy="4947285"/>
          <a:chOff x="2571749" y="704319"/>
          <a:chExt cx="9877426"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14547" y="2455080"/>
            <a:ext cx="9334628" cy="680630"/>
            <a:chOff x="3114547" y="2455080"/>
            <a:chExt cx="9334628"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14547" y="274914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87076" y="24550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$27.79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66675</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906000" cy="4933950"/>
          <a:chOff x="2571749" y="704319"/>
          <a:chExt cx="9839517"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2595856"/>
            <a:ext cx="9315641" cy="680630"/>
            <a:chOff x="3095625" y="2595856"/>
            <a:chExt cx="9315641"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280721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49167" y="259585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$27.29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2,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2, 2022</a:t>
            </a:r>
          </a:p>
        </xdr:txBody>
      </xdr:sp>
    </xdr:grpSp>
    <xdr:clientData/>
  </xdr:twoCellAnchor>
  <xdr:twoCellAnchor>
    <xdr:from>
      <xdr:col>8</xdr:col>
      <xdr:colOff>390525</xdr:colOff>
      <xdr:row>13</xdr:row>
      <xdr:rowOff>161925</xdr:rowOff>
    </xdr:from>
    <xdr:to>
      <xdr:col>10</xdr:col>
      <xdr:colOff>228600</xdr:colOff>
      <xdr:row>24</xdr:row>
      <xdr:rowOff>19527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34275" y="282892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2,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2,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91.6%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8.4%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c:userShapes xmlns:c="http://schemas.openxmlformats.org/drawingml/2006/chart">
  <cdr:relSizeAnchor xmlns:cdr="http://schemas.openxmlformats.org/drawingml/2006/chartDrawing">
    <cdr:from>
      <cdr:x>0.6039</cdr:x>
      <cdr:y>0.26278</cdr:y>
    </cdr:from>
    <cdr:to>
      <cdr:x>0.63636</cdr:x>
      <cdr:y>0.39989</cdr:y>
    </cdr:to>
    <cdr:cxnSp macro="">
      <cdr:nvCxnSpPr>
        <cdr:cNvPr id="3" name="Straight Connector 2">
          <a:extLst xmlns:a="http://schemas.openxmlformats.org/drawingml/2006/main">
            <a:ext uri="{FF2B5EF4-FFF2-40B4-BE49-F238E27FC236}">
              <a16:creationId xmlns:a16="http://schemas.microsoft.com/office/drawing/2014/main" id="{80A6FBD1-9819-6060-C774-DE362FEB9EB8}"/>
            </a:ext>
          </a:extLst>
        </cdr:cNvPr>
        <cdr:cNvCxnSpPr/>
      </cdr:nvCxnSpPr>
      <cdr:spPr>
        <a:xfrm xmlns:a="http://schemas.openxmlformats.org/drawingml/2006/main" flipV="1">
          <a:off x="1771650" y="438150"/>
          <a:ext cx="95250" cy="228600"/>
        </a:xfrm>
        <a:prstGeom xmlns:a="http://schemas.openxmlformats.org/drawingml/2006/main" prst="line">
          <a:avLst/>
        </a:prstGeom>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509587"/>
          <a:ext cx="7096125"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2,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4" y="2378343"/>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9" y="2379165"/>
                <a:ext cx="2469984"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$12.39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127610"/>
              <a:ext cx="8597177"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6" y="1957132"/>
              <a:ext cx="242332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$14.13</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79913"/>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90575"/>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$15.54</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273269</xdr:colOff>
      <xdr:row>26</xdr:row>
      <xdr:rowOff>134026</xdr:rowOff>
    </xdr:from>
    <xdr:to>
      <xdr:col>28</xdr:col>
      <xdr:colOff>339944</xdr:colOff>
      <xdr:row>37</xdr:row>
      <xdr:rowOff>104334</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75269" y="5572801"/>
          <a:ext cx="2924175" cy="2103908"/>
          <a:chOff x="-19216" y="62172"/>
          <a:chExt cx="2286000" cy="2288979"/>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19216" y="174689"/>
          <a:ext cx="2286000" cy="217646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219075</xdr:colOff>
      <xdr:row>1</xdr:row>
      <xdr:rowOff>123824</xdr:rowOff>
    </xdr:from>
    <xdr:to>
      <xdr:col>34</xdr:col>
      <xdr:colOff>1638300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123825</xdr:colOff>
      <xdr:row>27</xdr:row>
      <xdr:rowOff>36195</xdr:rowOff>
    </xdr:from>
    <xdr:to>
      <xdr:col>34</xdr:col>
      <xdr:colOff>1543050</xdr:colOff>
      <xdr:row>49</xdr:row>
      <xdr:rowOff>95250</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2</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14</xdr:col>
      <xdr:colOff>95250</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3133453"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2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17"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2, because there are too few Aide/Floaters jobs in the area. </a:t>
          </a: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220980</xdr:rowOff>
    </xdr:from>
    <xdr:to>
      <xdr:col>32</xdr:col>
      <xdr:colOff>2177415</xdr:colOff>
      <xdr:row>26</xdr:row>
      <xdr:rowOff>144780</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220980"/>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23954" y="3092480"/>
            <a:ext cx="9325221" cy="680630"/>
            <a:chOff x="3123954" y="3092480"/>
            <a:chExt cx="9325221"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23954" y="339806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$27.79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2228851</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773150" y="5295900"/>
          <a:ext cx="10020301" cy="4933950"/>
          <a:chOff x="2571749" y="704319"/>
          <a:chExt cx="9934002"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61726" y="2598558"/>
            <a:ext cx="9344025" cy="680630"/>
            <a:chOff x="3161726" y="2598558"/>
            <a:chExt cx="9344025"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61726" y="282679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943652" y="259855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$27.79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7908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2,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31770"/>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2,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03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2</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430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2,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70.9%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29.1%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8315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2,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0" y="2436025"/>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436846"/>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$14.39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2140665"/>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1" y="2018473"/>
              <a:ext cx="2826697"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$18.84</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74774" y="1814333"/>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24319" y="1321854"/>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$20.72</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285750</xdr:colOff>
      <xdr:row>26</xdr:row>
      <xdr:rowOff>190500</xdr:rowOff>
    </xdr:from>
    <xdr:to>
      <xdr:col>28</xdr:col>
      <xdr:colOff>352425</xdr:colOff>
      <xdr:row>37</xdr:row>
      <xdr:rowOff>57150</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363950" y="5629275"/>
          <a:ext cx="2924175" cy="200025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2</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14</xdr:col>
      <xdr:colOff>57150</xdr:colOff>
      <xdr:row>17</xdr:row>
      <xdr:rowOff>85725</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3123928" cy="3150870"/>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2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33</xdr:col>
      <xdr:colOff>34924</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10000404" cy="4984538"/>
          <a:chOff x="2571749" y="704319"/>
          <a:chExt cx="9882778"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86100" y="4008066"/>
            <a:ext cx="9368427" cy="680630"/>
            <a:chOff x="3086100" y="4008066"/>
            <a:chExt cx="9368427"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86100" y="4335376"/>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92428" y="400806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$27.79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2202181</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915526" cy="4914053"/>
          <a:chOff x="2571749" y="704319"/>
          <a:chExt cx="9768328"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75711" y="3010355"/>
            <a:ext cx="9264366" cy="680630"/>
            <a:chOff x="3075711" y="3010355"/>
            <a:chExt cx="9264366"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75711" y="3342358"/>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77978" y="301035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$27.29</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14"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2, because there are too few Substitute jobs in the area.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28925"/>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2,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77494"/>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2, 2022</a:t>
            </a:r>
          </a:p>
        </xdr:txBody>
      </xdr:sp>
    </xdr:grpSp>
    <xdr:clientData/>
  </xdr:twoCellAnchor>
  <xdr:twoCellAnchor>
    <xdr:from>
      <xdr:col>8</xdr:col>
      <xdr:colOff>400050</xdr:colOff>
      <xdr:row>13</xdr:row>
      <xdr:rowOff>142875</xdr:rowOff>
    </xdr:from>
    <xdr:to>
      <xdr:col>10</xdr:col>
      <xdr:colOff>247173</xdr:colOff>
      <xdr:row>23</xdr:row>
      <xdr:rowOff>181452</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43800" y="2838450"/>
          <a:ext cx="2942748" cy="1943577"/>
          <a:chOff x="3905250" y="4419600"/>
          <a:chExt cx="2942748" cy="1943577"/>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05250" y="4695825"/>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2,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81175"/>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2,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98.3%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1.7%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53428"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2,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148143"/>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147461"/>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$14.60</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563692"/>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550744"/>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$25.12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1287666"/>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809557"/>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$27.63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352425</xdr:colOff>
      <xdr:row>27</xdr:row>
      <xdr:rowOff>28575</xdr:rowOff>
    </xdr:from>
    <xdr:to>
      <xdr:col>28</xdr:col>
      <xdr:colOff>419100</xdr:colOff>
      <xdr:row>37</xdr:row>
      <xdr:rowOff>95250</xdr:rowOff>
    </xdr:to>
    <xdr:grpSp>
      <xdr:nvGrpSpPr>
        <xdr:cNvPr id="38" name="Group 37">
          <a:extLst>
            <a:ext uri="{FF2B5EF4-FFF2-40B4-BE49-F238E27FC236}">
              <a16:creationId xmlns:a16="http://schemas.microsoft.com/office/drawing/2014/main" id="{2FBB0F57-71F3-85C2-1B3F-7BB256B39E78}"/>
            </a:ext>
            <a:ext uri="{147F2762-F138-4A5C-976F-8EAC2B608ADB}">
              <a16:predDERef xmlns:a16="http://schemas.microsoft.com/office/drawing/2014/main" pred="{F4FA5F27-44FB-7E82-74A3-5FED10E94C04}"/>
            </a:ext>
          </a:extLst>
        </xdr:cNvPr>
        <xdr:cNvGrpSpPr/>
      </xdr:nvGrpSpPr>
      <xdr:grpSpPr>
        <a:xfrm>
          <a:off x="16316325" y="5667375"/>
          <a:ext cx="2924175" cy="200025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523875</xdr:colOff>
      <xdr:row>1</xdr:row>
      <xdr:rowOff>95249</xdr:rowOff>
    </xdr:from>
    <xdr:to>
      <xdr:col>34</xdr:col>
      <xdr:colOff>1943100</xdr:colOff>
      <xdr:row>26</xdr:row>
      <xdr:rowOff>161924</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520065</xdr:colOff>
      <xdr:row>27</xdr:row>
      <xdr:rowOff>62865</xdr:rowOff>
    </xdr:from>
    <xdr:to>
      <xdr:col>34</xdr:col>
      <xdr:colOff>1939290</xdr:colOff>
      <xdr:row>50</xdr:row>
      <xdr:rowOff>95250</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4" workbookViewId="0">
      <selection activeCell="F38" sqref="F38"/>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6" t="s">
        <v>0</v>
      </c>
      <c r="B1" s="226"/>
      <c r="C1" s="226"/>
    </row>
    <row r="2" spans="1:3" ht="56.25" customHeight="1" x14ac:dyDescent="0.2">
      <c r="A2" s="227" t="s">
        <v>1</v>
      </c>
      <c r="B2" s="228"/>
      <c r="C2" s="228"/>
    </row>
    <row r="3" spans="1:3" x14ac:dyDescent="0.2">
      <c r="A3" s="232" t="s">
        <v>2</v>
      </c>
      <c r="B3" s="233"/>
      <c r="C3" s="233"/>
    </row>
    <row r="4" spans="1:3" x14ac:dyDescent="0.2">
      <c r="A4" s="8"/>
      <c r="B4" s="9"/>
      <c r="C4" s="9"/>
    </row>
    <row r="5" spans="1:3" x14ac:dyDescent="0.2">
      <c r="A5" s="229" t="s">
        <v>3</v>
      </c>
      <c r="B5" s="229"/>
      <c r="C5" s="229"/>
    </row>
    <row r="6" spans="1:3" x14ac:dyDescent="0.2">
      <c r="A6" s="230" t="s">
        <v>4</v>
      </c>
      <c r="B6" s="230"/>
      <c r="C6" s="230"/>
    </row>
    <row r="7" spans="1:3" x14ac:dyDescent="0.2">
      <c r="A7" s="230"/>
      <c r="B7" s="230"/>
      <c r="C7" s="230"/>
    </row>
    <row r="8" spans="1:3" x14ac:dyDescent="0.2">
      <c r="A8" s="231" t="s">
        <v>5</v>
      </c>
      <c r="B8" s="2" t="s">
        <v>6</v>
      </c>
      <c r="C8" s="3" t="s">
        <v>7</v>
      </c>
    </row>
    <row r="9" spans="1:3" x14ac:dyDescent="0.2">
      <c r="A9" s="231"/>
      <c r="B9" s="2" t="s">
        <v>8</v>
      </c>
      <c r="C9" s="3" t="s">
        <v>9</v>
      </c>
    </row>
    <row r="10" spans="1:3" x14ac:dyDescent="0.2">
      <c r="A10" s="4"/>
      <c r="B10" s="5"/>
      <c r="C10" s="4"/>
    </row>
    <row r="11" spans="1:3" ht="14.25" customHeight="1" x14ac:dyDescent="0.2">
      <c r="A11" s="234" t="s">
        <v>10</v>
      </c>
      <c r="B11" s="7" t="s">
        <v>6</v>
      </c>
      <c r="C11" s="6" t="s">
        <v>11</v>
      </c>
    </row>
    <row r="12" spans="1:3" x14ac:dyDescent="0.2">
      <c r="A12" s="234"/>
      <c r="B12" s="7" t="s">
        <v>8</v>
      </c>
      <c r="C12" s="6" t="s">
        <v>12</v>
      </c>
    </row>
    <row r="13" spans="1:3" x14ac:dyDescent="0.2">
      <c r="A13" s="234"/>
      <c r="B13" s="7" t="s">
        <v>13</v>
      </c>
      <c r="C13" s="6" t="s">
        <v>14</v>
      </c>
    </row>
    <row r="14" spans="1:3" x14ac:dyDescent="0.2">
      <c r="A14" s="234"/>
      <c r="B14" s="7" t="s">
        <v>15</v>
      </c>
      <c r="C14" s="6" t="s">
        <v>16</v>
      </c>
    </row>
    <row r="15" spans="1:3" x14ac:dyDescent="0.2">
      <c r="A15" s="234"/>
      <c r="B15" s="7" t="s">
        <v>17</v>
      </c>
      <c r="C15" s="6" t="s">
        <v>18</v>
      </c>
    </row>
    <row r="16" spans="1:3" x14ac:dyDescent="0.2">
      <c r="A16" s="234"/>
      <c r="B16" s="7" t="s">
        <v>19</v>
      </c>
      <c r="C16" s="6" t="s">
        <v>20</v>
      </c>
    </row>
    <row r="17" spans="1:3" x14ac:dyDescent="0.2">
      <c r="A17" s="234"/>
      <c r="B17" s="7" t="s">
        <v>21</v>
      </c>
      <c r="C17" s="6" t="s">
        <v>22</v>
      </c>
    </row>
    <row r="18" spans="1:3" x14ac:dyDescent="0.2">
      <c r="A18" s="4"/>
      <c r="B18" s="5"/>
      <c r="C18" s="4"/>
    </row>
    <row r="19" spans="1:3" x14ac:dyDescent="0.2">
      <c r="A19" s="223" t="s">
        <v>23</v>
      </c>
      <c r="B19" s="26" t="s">
        <v>6</v>
      </c>
      <c r="C19" s="6" t="s">
        <v>11</v>
      </c>
    </row>
    <row r="20" spans="1:3" x14ac:dyDescent="0.2">
      <c r="A20" s="223"/>
      <c r="B20" s="26" t="s">
        <v>8</v>
      </c>
      <c r="C20" s="6" t="s">
        <v>12</v>
      </c>
    </row>
    <row r="21" spans="1:3" x14ac:dyDescent="0.2">
      <c r="A21" s="223"/>
      <c r="B21" s="26" t="s">
        <v>13</v>
      </c>
      <c r="C21" s="6" t="s">
        <v>14</v>
      </c>
    </row>
    <row r="22" spans="1:3" x14ac:dyDescent="0.2">
      <c r="A22" s="223"/>
      <c r="B22" s="26" t="s">
        <v>15</v>
      </c>
      <c r="C22" s="6" t="s">
        <v>16</v>
      </c>
    </row>
    <row r="23" spans="1:3" x14ac:dyDescent="0.2">
      <c r="A23" s="223"/>
      <c r="B23" s="26" t="s">
        <v>17</v>
      </c>
      <c r="C23" s="6" t="s">
        <v>18</v>
      </c>
    </row>
    <row r="24" spans="1:3" x14ac:dyDescent="0.2">
      <c r="A24" s="223"/>
      <c r="B24" s="26" t="s">
        <v>19</v>
      </c>
      <c r="C24" s="6" t="s">
        <v>20</v>
      </c>
    </row>
    <row r="25" spans="1:3" x14ac:dyDescent="0.2">
      <c r="A25" s="30"/>
      <c r="B25" s="26" t="s">
        <v>21</v>
      </c>
      <c r="C25" s="6" t="s">
        <v>22</v>
      </c>
    </row>
    <row r="26" spans="1:3" x14ac:dyDescent="0.2">
      <c r="A26" s="4"/>
      <c r="B26" s="5"/>
      <c r="C26" s="4"/>
    </row>
    <row r="27" spans="1:3" x14ac:dyDescent="0.2">
      <c r="A27" s="224" t="s">
        <v>24</v>
      </c>
      <c r="B27" s="27" t="s">
        <v>6</v>
      </c>
      <c r="C27" s="6" t="s">
        <v>11</v>
      </c>
    </row>
    <row r="28" spans="1:3" x14ac:dyDescent="0.2">
      <c r="A28" s="224"/>
      <c r="B28" s="27" t="s">
        <v>8</v>
      </c>
      <c r="C28" s="6" t="s">
        <v>12</v>
      </c>
    </row>
    <row r="29" spans="1:3" x14ac:dyDescent="0.2">
      <c r="A29" s="224"/>
      <c r="B29" s="27" t="s">
        <v>13</v>
      </c>
      <c r="C29" s="6" t="s">
        <v>14</v>
      </c>
    </row>
    <row r="30" spans="1:3" x14ac:dyDescent="0.2">
      <c r="A30" s="224"/>
      <c r="B30" s="27" t="s">
        <v>15</v>
      </c>
      <c r="C30" s="6" t="s">
        <v>16</v>
      </c>
    </row>
    <row r="31" spans="1:3" ht="14.45" customHeight="1" x14ac:dyDescent="0.2">
      <c r="A31" s="224"/>
      <c r="B31" s="27" t="s">
        <v>17</v>
      </c>
      <c r="C31" s="6" t="s">
        <v>18</v>
      </c>
    </row>
    <row r="32" spans="1:3" x14ac:dyDescent="0.2">
      <c r="A32" s="224"/>
      <c r="B32" s="27" t="s">
        <v>19</v>
      </c>
      <c r="C32" s="6" t="s">
        <v>20</v>
      </c>
    </row>
    <row r="33" spans="1:3" x14ac:dyDescent="0.2">
      <c r="A33" s="31"/>
      <c r="B33" s="27" t="s">
        <v>21</v>
      </c>
      <c r="C33" s="6" t="s">
        <v>22</v>
      </c>
    </row>
    <row r="34" spans="1:3" x14ac:dyDescent="0.2">
      <c r="A34" s="4"/>
      <c r="B34" s="5"/>
      <c r="C34" s="4"/>
    </row>
    <row r="35" spans="1:3" x14ac:dyDescent="0.2">
      <c r="A35" s="225" t="s">
        <v>25</v>
      </c>
      <c r="B35" s="29" t="s">
        <v>6</v>
      </c>
      <c r="C35" s="6" t="s">
        <v>11</v>
      </c>
    </row>
    <row r="36" spans="1:3" x14ac:dyDescent="0.2">
      <c r="A36" s="225"/>
      <c r="B36" s="29" t="s">
        <v>8</v>
      </c>
      <c r="C36" s="6" t="s">
        <v>12</v>
      </c>
    </row>
    <row r="37" spans="1:3" x14ac:dyDescent="0.2">
      <c r="A37" s="225"/>
      <c r="B37" s="29" t="s">
        <v>13</v>
      </c>
      <c r="C37" s="6" t="s">
        <v>14</v>
      </c>
    </row>
    <row r="38" spans="1:3" x14ac:dyDescent="0.2">
      <c r="A38" s="225"/>
      <c r="B38" s="29" t="s">
        <v>15</v>
      </c>
      <c r="C38" s="6" t="s">
        <v>16</v>
      </c>
    </row>
    <row r="39" spans="1:3" x14ac:dyDescent="0.2">
      <c r="A39" s="225"/>
      <c r="B39" s="29" t="s">
        <v>17</v>
      </c>
      <c r="C39" s="6" t="s">
        <v>18</v>
      </c>
    </row>
    <row r="40" spans="1:3" x14ac:dyDescent="0.2">
      <c r="A40" s="225"/>
      <c r="B40" s="29" t="s">
        <v>19</v>
      </c>
      <c r="C40" s="6" t="s">
        <v>20</v>
      </c>
    </row>
    <row r="41" spans="1:3" x14ac:dyDescent="0.2">
      <c r="A41" s="32"/>
      <c r="B41" s="29" t="s">
        <v>21</v>
      </c>
      <c r="C41" s="6" t="s">
        <v>22</v>
      </c>
    </row>
    <row r="42" spans="1:3" x14ac:dyDescent="0.2">
      <c r="A42" s="4"/>
      <c r="B42" s="5"/>
      <c r="C42" s="4"/>
    </row>
  </sheetData>
  <mergeCells count="10">
    <mergeCell ref="A19:A24"/>
    <mergeCell ref="A27:A32"/>
    <mergeCell ref="A35:A40"/>
    <mergeCell ref="A1:C1"/>
    <mergeCell ref="A2:C2"/>
    <mergeCell ref="A5:C5"/>
    <mergeCell ref="A6:C7"/>
    <mergeCell ref="A8:A9"/>
    <mergeCell ref="A3:C3"/>
    <mergeCell ref="A11:A17"/>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C12" sqref="C12"/>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8"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39"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3" customWidth="1"/>
    <col min="34" max="16384" width="9.140625" style="1"/>
  </cols>
  <sheetData>
    <row r="1" spans="1:33" ht="23.25" x14ac:dyDescent="0.35">
      <c r="A1" s="262" t="s">
        <v>245</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33" ht="15" x14ac:dyDescent="0.25">
      <c r="A3" s="192"/>
      <c r="E3" s="1"/>
      <c r="I3" s="39"/>
      <c r="M3" s="1"/>
      <c r="AC3" s="83"/>
      <c r="AG3" s="1"/>
    </row>
    <row r="4" spans="1:33" x14ac:dyDescent="0.2">
      <c r="E4" s="1"/>
      <c r="M4" s="1"/>
      <c r="AC4" s="83"/>
      <c r="AG4" s="1"/>
    </row>
    <row r="5" spans="1:33" x14ac:dyDescent="0.2">
      <c r="E5" s="1"/>
      <c r="M5" s="1"/>
      <c r="AC5" s="83"/>
      <c r="AG5" s="1"/>
    </row>
    <row r="6" spans="1:33" x14ac:dyDescent="0.2">
      <c r="E6" s="1"/>
      <c r="I6" s="193"/>
      <c r="M6" s="1"/>
      <c r="AC6" s="83"/>
      <c r="AG6" s="1"/>
    </row>
    <row r="7" spans="1:33" x14ac:dyDescent="0.2">
      <c r="E7" s="1"/>
      <c r="I7" s="193"/>
      <c r="M7" s="1"/>
      <c r="AC7" s="83"/>
      <c r="AG7" s="1"/>
    </row>
    <row r="8" spans="1:33" x14ac:dyDescent="0.2">
      <c r="E8" s="1"/>
      <c r="I8" s="193"/>
      <c r="M8" s="1"/>
      <c r="AC8" s="83"/>
      <c r="AG8" s="1"/>
    </row>
    <row r="9" spans="1:33" x14ac:dyDescent="0.2">
      <c r="E9" s="1"/>
      <c r="I9" s="193"/>
      <c r="M9" s="1"/>
      <c r="AC9" s="83"/>
      <c r="AG9" s="1"/>
    </row>
    <row r="10" spans="1:33" x14ac:dyDescent="0.2">
      <c r="E10" s="1"/>
      <c r="I10" s="193"/>
      <c r="M10" s="1"/>
      <c r="AC10" s="83"/>
      <c r="AG10" s="1"/>
    </row>
    <row r="11" spans="1:33" x14ac:dyDescent="0.2">
      <c r="E11" s="1"/>
      <c r="I11" s="193"/>
      <c r="M11" s="1"/>
      <c r="AC11" s="83"/>
      <c r="AG11" s="1"/>
    </row>
    <row r="12" spans="1:33" x14ac:dyDescent="0.2">
      <c r="E12" s="1"/>
      <c r="I12" s="193"/>
      <c r="M12" s="1"/>
      <c r="AC12" s="83"/>
      <c r="AG12" s="1"/>
    </row>
    <row r="13" spans="1:33" x14ac:dyDescent="0.2">
      <c r="E13" s="1"/>
      <c r="I13" s="193"/>
      <c r="M13" s="1"/>
      <c r="AC13" s="83"/>
      <c r="AG13" s="1"/>
    </row>
    <row r="14" spans="1:33" x14ac:dyDescent="0.2">
      <c r="E14" s="1"/>
      <c r="I14" s="193"/>
      <c r="M14" s="1"/>
      <c r="AC14" s="83"/>
      <c r="AG14" s="1"/>
    </row>
    <row r="15" spans="1:33" x14ac:dyDescent="0.2">
      <c r="E15" s="1"/>
      <c r="I15" s="193"/>
      <c r="M15" s="1"/>
      <c r="AC15" s="83"/>
      <c r="AG15" s="1"/>
    </row>
    <row r="16" spans="1:33" x14ac:dyDescent="0.2">
      <c r="E16" s="1"/>
      <c r="I16" s="193"/>
      <c r="M16" s="1"/>
      <c r="AC16" s="83"/>
      <c r="AG16" s="1"/>
    </row>
    <row r="17" spans="3:33" x14ac:dyDescent="0.2">
      <c r="E17" s="1"/>
      <c r="I17" s="193"/>
      <c r="M17" s="1"/>
      <c r="AC17" s="83"/>
      <c r="AG17" s="1"/>
    </row>
    <row r="18" spans="3:33" x14ac:dyDescent="0.2">
      <c r="C18" s="38"/>
      <c r="E18" s="1"/>
      <c r="I18" s="193"/>
      <c r="M18" s="1"/>
      <c r="AC18" s="83"/>
      <c r="AG18" s="1"/>
    </row>
    <row r="19" spans="3:33" x14ac:dyDescent="0.2">
      <c r="C19" s="38"/>
      <c r="E19" s="1"/>
      <c r="I19" s="193"/>
      <c r="M19" s="1"/>
      <c r="AC19" s="83"/>
      <c r="AG19" s="1"/>
    </row>
    <row r="20" spans="3:33" x14ac:dyDescent="0.2">
      <c r="C20" s="38"/>
      <c r="E20" s="1"/>
      <c r="I20" s="193"/>
      <c r="M20" s="1"/>
      <c r="AC20" s="83"/>
      <c r="AG20" s="1"/>
    </row>
    <row r="21" spans="3:33" x14ac:dyDescent="0.2">
      <c r="E21" s="1"/>
      <c r="I21" s="193"/>
      <c r="M21" s="1"/>
      <c r="AC21" s="83"/>
      <c r="AG21" s="1"/>
    </row>
    <row r="22" spans="3:33" x14ac:dyDescent="0.2">
      <c r="E22" s="1"/>
      <c r="I22" s="193"/>
      <c r="M22" s="1"/>
      <c r="AC22" s="83"/>
      <c r="AG22" s="1"/>
    </row>
    <row r="23" spans="3:33" x14ac:dyDescent="0.2">
      <c r="E23" s="1"/>
      <c r="I23" s="193"/>
      <c r="M23" s="1"/>
      <c r="AC23" s="83"/>
      <c r="AG23" s="1"/>
    </row>
    <row r="24" spans="3:33" x14ac:dyDescent="0.2">
      <c r="E24" s="1"/>
      <c r="I24" s="193"/>
      <c r="M24" s="1"/>
      <c r="AC24" s="83"/>
      <c r="AG24" s="1"/>
    </row>
    <row r="25" spans="3:33" x14ac:dyDescent="0.2">
      <c r="E25" s="1"/>
      <c r="M25" s="1"/>
      <c r="AC25" s="83"/>
      <c r="AG25" s="1"/>
    </row>
    <row r="26" spans="3:33" x14ac:dyDescent="0.2">
      <c r="E26" s="1"/>
      <c r="M26" s="1"/>
      <c r="AC26" s="83"/>
      <c r="AG26" s="1"/>
    </row>
    <row r="27" spans="3:33" x14ac:dyDescent="0.2">
      <c r="E27" s="1"/>
      <c r="M27" s="1"/>
      <c r="AC27" s="83"/>
      <c r="AG27" s="1"/>
    </row>
    <row r="28" spans="3:33" x14ac:dyDescent="0.2">
      <c r="E28" s="1"/>
      <c r="M28" s="1"/>
      <c r="AC28" s="83"/>
      <c r="AG28" s="1"/>
    </row>
    <row r="29" spans="3:33" x14ac:dyDescent="0.2">
      <c r="E29" s="1"/>
      <c r="M29" s="1"/>
      <c r="AC29" s="83"/>
      <c r="AG29" s="1"/>
    </row>
    <row r="30" spans="3:33" x14ac:dyDescent="0.2">
      <c r="E30" s="1"/>
      <c r="M30" s="1"/>
      <c r="AC30" s="83"/>
      <c r="AG30" s="1"/>
    </row>
    <row r="31" spans="3:33" x14ac:dyDescent="0.2">
      <c r="E31" s="1"/>
      <c r="M31" s="1"/>
      <c r="AC31" s="83"/>
      <c r="AG31" s="1"/>
    </row>
    <row r="32" spans="3:33" x14ac:dyDescent="0.2">
      <c r="E32" s="1"/>
      <c r="M32" s="1"/>
      <c r="AC32" s="83"/>
      <c r="AG32" s="1"/>
    </row>
    <row r="33" spans="29:29" s="1" customFormat="1" x14ac:dyDescent="0.2">
      <c r="AC33" s="83"/>
    </row>
    <row r="34" spans="29:29" s="1" customFormat="1" x14ac:dyDescent="0.2">
      <c r="AC34" s="83"/>
    </row>
    <row r="35" spans="29:29" s="1" customFormat="1" x14ac:dyDescent="0.2">
      <c r="AC35" s="83"/>
    </row>
    <row r="36" spans="29:29" s="1" customFormat="1" x14ac:dyDescent="0.2">
      <c r="AC36" s="83"/>
    </row>
    <row r="37" spans="29:29" s="1" customFormat="1" x14ac:dyDescent="0.2">
      <c r="AC37" s="83"/>
    </row>
    <row r="38" spans="29:29" s="1" customFormat="1" x14ac:dyDescent="0.2">
      <c r="AC38" s="83"/>
    </row>
    <row r="39" spans="29:29" s="1" customFormat="1" x14ac:dyDescent="0.2">
      <c r="AC39" s="83"/>
    </row>
    <row r="40" spans="29:29" s="1" customFormat="1" x14ac:dyDescent="0.2">
      <c r="AC40" s="83"/>
    </row>
    <row r="41" spans="29:29" s="1" customFormat="1" x14ac:dyDescent="0.2">
      <c r="AC41" s="83"/>
    </row>
    <row r="42" spans="29:29" s="1" customFormat="1" x14ac:dyDescent="0.2">
      <c r="AC42" s="83"/>
    </row>
    <row r="43" spans="29:29" s="1" customFormat="1" x14ac:dyDescent="0.2">
      <c r="AC43" s="83"/>
    </row>
    <row r="44" spans="29:29" s="1" customFormat="1" x14ac:dyDescent="0.2">
      <c r="AC44" s="83"/>
    </row>
    <row r="45" spans="29:29" s="1" customFormat="1" x14ac:dyDescent="0.2">
      <c r="AC45" s="83"/>
    </row>
    <row r="46" spans="29:29" s="1" customFormat="1" x14ac:dyDescent="0.2">
      <c r="AC46" s="83"/>
    </row>
    <row r="47" spans="29:29" s="1" customFormat="1" x14ac:dyDescent="0.2">
      <c r="AC47" s="83"/>
    </row>
    <row r="48" spans="29:29" s="1" customFormat="1" x14ac:dyDescent="0.2">
      <c r="AC48" s="83"/>
    </row>
    <row r="49" spans="1:33" x14ac:dyDescent="0.2">
      <c r="E49" s="1"/>
      <c r="M49" s="1"/>
      <c r="AC49" s="83"/>
      <c r="AG49" s="1"/>
    </row>
    <row r="50" spans="1:33" x14ac:dyDescent="0.2">
      <c r="E50" s="1"/>
      <c r="M50" s="1"/>
      <c r="AC50" s="83"/>
      <c r="AG50" s="1"/>
    </row>
    <row r="51" spans="1:33" x14ac:dyDescent="0.2">
      <c r="E51" s="1"/>
      <c r="M51" s="1"/>
      <c r="AC51" s="83"/>
      <c r="AG51" s="1"/>
    </row>
    <row r="52" spans="1:33" x14ac:dyDescent="0.2">
      <c r="E52" s="1"/>
      <c r="M52" s="1"/>
      <c r="AC52" s="83"/>
      <c r="AG52" s="1"/>
    </row>
    <row r="53" spans="1:33" x14ac:dyDescent="0.2">
      <c r="E53" s="1"/>
      <c r="M53" s="1"/>
      <c r="AC53" s="83"/>
      <c r="AG53" s="1"/>
    </row>
    <row r="54" spans="1:33" x14ac:dyDescent="0.2">
      <c r="A54" s="160"/>
      <c r="E54" s="1"/>
      <c r="M54" s="1"/>
      <c r="AC54" s="83"/>
      <c r="AG54" s="1"/>
    </row>
    <row r="55" spans="1:33" x14ac:dyDescent="0.2">
      <c r="E55" s="1"/>
      <c r="M55" s="1"/>
      <c r="AC55" s="83"/>
      <c r="AG55" s="1"/>
    </row>
    <row r="56" spans="1:33" x14ac:dyDescent="0.2">
      <c r="E56" s="1"/>
      <c r="M56" s="1"/>
      <c r="AC56" s="83"/>
      <c r="AG56" s="1"/>
    </row>
    <row r="57" spans="1:33" x14ac:dyDescent="0.2">
      <c r="E57" s="1"/>
      <c r="M57" s="1"/>
      <c r="AC57" s="83"/>
      <c r="AG57" s="1"/>
    </row>
    <row r="58" spans="1:33" x14ac:dyDescent="0.2">
      <c r="E58" s="1"/>
      <c r="M58" s="1"/>
      <c r="AC58" s="83"/>
      <c r="AG58" s="1"/>
    </row>
    <row r="59" spans="1:33" x14ac:dyDescent="0.2">
      <c r="E59" s="1"/>
      <c r="M59" s="1"/>
      <c r="AC59" s="83"/>
      <c r="AG59" s="1"/>
    </row>
    <row r="60" spans="1:33" x14ac:dyDescent="0.2">
      <c r="E60" s="1"/>
      <c r="M60" s="1"/>
      <c r="AC60" s="83"/>
      <c r="AG60" s="1"/>
    </row>
    <row r="61" spans="1:33" x14ac:dyDescent="0.2">
      <c r="E61" s="1"/>
      <c r="M61" s="1"/>
      <c r="AC61" s="83"/>
      <c r="AG61" s="1"/>
    </row>
    <row r="62" spans="1:33" x14ac:dyDescent="0.2">
      <c r="E62" s="1"/>
      <c r="M62" s="1"/>
      <c r="AC62" s="83"/>
      <c r="AG62" s="1"/>
    </row>
    <row r="63" spans="1:33" x14ac:dyDescent="0.2">
      <c r="E63" s="1"/>
      <c r="M63" s="1"/>
      <c r="AC63" s="83"/>
      <c r="AG63" s="1"/>
    </row>
    <row r="64" spans="1:33" x14ac:dyDescent="0.2">
      <c r="A64" s="38"/>
      <c r="E64" s="1"/>
      <c r="M64" s="1"/>
      <c r="AC64" s="83"/>
      <c r="AG64" s="1"/>
    </row>
    <row r="65" spans="1:33" x14ac:dyDescent="0.2">
      <c r="A65" s="38"/>
      <c r="E65" s="1"/>
      <c r="M65" s="1"/>
      <c r="AC65" s="83"/>
      <c r="AG65" s="1"/>
    </row>
    <row r="66" spans="1:33" x14ac:dyDescent="0.2">
      <c r="A66" s="38"/>
      <c r="E66" s="1"/>
      <c r="M66" s="1"/>
      <c r="AC66" s="83"/>
      <c r="AG66" s="1"/>
    </row>
    <row r="67" spans="1:33" x14ac:dyDescent="0.2">
      <c r="A67" s="38"/>
      <c r="E67" s="1"/>
      <c r="M67" s="1"/>
      <c r="AC67" s="83"/>
      <c r="AG67" s="1"/>
    </row>
    <row r="68" spans="1:33" x14ac:dyDescent="0.2">
      <c r="A68" s="38"/>
      <c r="E68" s="1"/>
      <c r="M68" s="1"/>
      <c r="AC68" s="83"/>
      <c r="AG68" s="1"/>
    </row>
    <row r="69" spans="1:33" x14ac:dyDescent="0.2">
      <c r="A69" s="38"/>
      <c r="E69" s="1"/>
      <c r="M69" s="1"/>
      <c r="AC69" s="83"/>
      <c r="AG69" s="1"/>
    </row>
    <row r="70" spans="1:33" x14ac:dyDescent="0.2">
      <c r="A70" s="38"/>
      <c r="E70" s="1"/>
      <c r="M70" s="1"/>
      <c r="AC70" s="83"/>
      <c r="AG70" s="1"/>
    </row>
    <row r="71" spans="1:33" x14ac:dyDescent="0.2">
      <c r="A71" s="38"/>
      <c r="E71" s="1"/>
      <c r="M71" s="1"/>
      <c r="AC71" s="83"/>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AG40" sqref="AG40"/>
    </sheetView>
  </sheetViews>
  <sheetFormatPr defaultColWidth="9.140625" defaultRowHeight="14.25" x14ac:dyDescent="0.2"/>
  <cols>
    <col min="1" max="1" width="32" style="1" customWidth="1"/>
    <col min="2" max="2" width="8.140625" style="1" customWidth="1"/>
    <col min="3" max="3" width="9.85546875" style="1" customWidth="1"/>
    <col min="4" max="4" width="7.28515625" style="38"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39"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246</v>
      </c>
      <c r="B1" s="262"/>
      <c r="C1" s="262"/>
      <c r="D1" s="262"/>
      <c r="E1" s="262"/>
      <c r="F1" s="262"/>
      <c r="G1" s="262"/>
      <c r="H1" s="262"/>
      <c r="I1" s="262"/>
      <c r="J1" s="262"/>
      <c r="K1" s="262"/>
      <c r="L1" s="262"/>
      <c r="M1" s="262"/>
      <c r="N1" s="262"/>
      <c r="O1" s="262"/>
      <c r="P1" s="262"/>
      <c r="Q1" s="262"/>
      <c r="R1" s="262"/>
    </row>
    <row r="2" spans="1:27" ht="15" thickBot="1" x14ac:dyDescent="0.25">
      <c r="B2" s="37"/>
      <c r="C2" s="37"/>
      <c r="P2" s="1"/>
      <c r="Q2" s="39"/>
    </row>
    <row r="3" spans="1:27" ht="12.75" customHeight="1" thickBot="1" x14ac:dyDescent="0.25">
      <c r="A3" s="327" t="s">
        <v>29</v>
      </c>
      <c r="B3" s="330" t="s">
        <v>30</v>
      </c>
      <c r="C3" s="261"/>
      <c r="D3" s="297" t="s">
        <v>31</v>
      </c>
      <c r="E3" s="298"/>
      <c r="F3" s="211" t="s">
        <v>33</v>
      </c>
      <c r="G3" s="210" t="s">
        <v>33</v>
      </c>
      <c r="H3" s="210" t="s">
        <v>33</v>
      </c>
      <c r="I3" s="303" t="s">
        <v>33</v>
      </c>
      <c r="J3" s="303"/>
      <c r="K3" s="303" t="s">
        <v>34</v>
      </c>
      <c r="L3" s="303"/>
      <c r="M3" s="210" t="s">
        <v>35</v>
      </c>
      <c r="N3" s="210" t="s">
        <v>35</v>
      </c>
      <c r="O3" s="212" t="s">
        <v>35</v>
      </c>
      <c r="P3" s="1"/>
      <c r="Q3" s="39"/>
      <c r="V3" s="273" t="s">
        <v>54</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39"/>
      <c r="U4" s="1" t="s">
        <v>130</v>
      </c>
      <c r="V4" s="43" t="s">
        <v>131</v>
      </c>
      <c r="W4" s="43" t="s">
        <v>48</v>
      </c>
      <c r="X4" s="43" t="s">
        <v>50</v>
      </c>
      <c r="Y4" s="43" t="s">
        <v>132</v>
      </c>
      <c r="Z4" s="43" t="s">
        <v>133</v>
      </c>
      <c r="AA4" s="43" t="s">
        <v>134</v>
      </c>
    </row>
    <row r="5" spans="1:27" ht="26.25" customHeight="1" thickBot="1" x14ac:dyDescent="0.25">
      <c r="A5" s="329"/>
      <c r="B5" s="302"/>
      <c r="C5" s="324"/>
      <c r="D5" s="291"/>
      <c r="E5" s="293"/>
      <c r="F5" s="311"/>
      <c r="G5" s="309"/>
      <c r="H5" s="309"/>
      <c r="I5" s="44" t="s">
        <v>48</v>
      </c>
      <c r="J5" s="44" t="s">
        <v>49</v>
      </c>
      <c r="K5" s="44" t="s">
        <v>50</v>
      </c>
      <c r="L5" s="44" t="s">
        <v>51</v>
      </c>
      <c r="M5" s="313"/>
      <c r="N5" s="313"/>
      <c r="O5" s="326"/>
      <c r="P5" s="1"/>
      <c r="Q5" s="39"/>
      <c r="U5" s="1">
        <v>0</v>
      </c>
      <c r="V5" s="45">
        <f>H6</f>
        <v>17.659320962360489</v>
      </c>
      <c r="W5" s="45">
        <f>I6</f>
        <v>20.720267857142858</v>
      </c>
      <c r="X5" s="45">
        <f>K6</f>
        <v>22.792294642857147</v>
      </c>
      <c r="Y5" s="45">
        <f>M6</f>
        <v>25.071524107142864</v>
      </c>
      <c r="Z5" s="45">
        <f>N6</f>
        <v>27.578676517857151</v>
      </c>
      <c r="AA5" s="45">
        <f>O6</f>
        <v>30.336544169642867</v>
      </c>
    </row>
    <row r="6" spans="1:27" x14ac:dyDescent="0.2">
      <c r="A6" s="110" t="s">
        <v>54</v>
      </c>
      <c r="B6" s="111">
        <f>'1A'!B12</f>
        <v>14.13</v>
      </c>
      <c r="C6" s="112">
        <f>'1A'!C12</f>
        <v>29390.400000000001</v>
      </c>
      <c r="D6" s="58">
        <f>'1A'!D12</f>
        <v>20.720267857142858</v>
      </c>
      <c r="E6" s="113">
        <f>'1A'!E12</f>
        <v>43098.157142857148</v>
      </c>
      <c r="F6" s="58">
        <f>'1A'!F12</f>
        <v>17.659320962360489</v>
      </c>
      <c r="G6" s="58">
        <f>'1A'!G12</f>
        <v>17.659320962360489</v>
      </c>
      <c r="H6" s="58">
        <f>'1A'!H12</f>
        <v>17.659320962360489</v>
      </c>
      <c r="I6" s="59">
        <f>'1A'!I12</f>
        <v>20.720267857142858</v>
      </c>
      <c r="J6" s="115">
        <f>'1A'!J12</f>
        <v>21.756281250000001</v>
      </c>
      <c r="K6" s="59">
        <f>'1A'!K12</f>
        <v>22.792294642857147</v>
      </c>
      <c r="L6" s="59">
        <f>'1A'!L12</f>
        <v>23.931909375000007</v>
      </c>
      <c r="M6" s="59">
        <f>'1A'!M12</f>
        <v>25.071524107142864</v>
      </c>
      <c r="N6" s="59">
        <f>'1A'!N12</f>
        <v>27.578676517857151</v>
      </c>
      <c r="O6" s="161">
        <f>'1A'!O12</f>
        <v>30.336544169642867</v>
      </c>
      <c r="P6" s="1"/>
      <c r="U6" s="1">
        <v>1</v>
      </c>
      <c r="V6" s="45">
        <f t="shared" ref="V6:V25" si="0">V5*1.025</f>
        <v>18.1008039864195</v>
      </c>
      <c r="W6" s="45">
        <f t="shared" ref="W6:W25" si="1">W5*1.025</f>
        <v>21.238274553571426</v>
      </c>
      <c r="X6" s="45">
        <f t="shared" ref="X6:X25" si="2">X5*1.025</f>
        <v>23.362102008928574</v>
      </c>
      <c r="Y6" s="45">
        <f t="shared" ref="Y6:Y25" si="3">Y5*1.025</f>
        <v>25.698312209821434</v>
      </c>
      <c r="Z6" s="45">
        <f t="shared" ref="Z6:Z25" si="4">Z5*1.025</f>
        <v>28.268143430803576</v>
      </c>
      <c r="AA6" s="45">
        <f t="shared" ref="AA6:AA25" si="5">AA5*1.025</f>
        <v>31.094957773883937</v>
      </c>
    </row>
    <row r="7" spans="1:27" x14ac:dyDescent="0.2">
      <c r="A7" s="286" t="s">
        <v>135</v>
      </c>
      <c r="B7" s="287"/>
      <c r="C7" s="287"/>
      <c r="D7" s="287"/>
      <c r="E7" s="287"/>
      <c r="F7" s="287"/>
      <c r="G7" s="287"/>
      <c r="H7" s="288"/>
      <c r="I7" s="54">
        <f>I6-H6</f>
        <v>3.0609468947823686</v>
      </c>
      <c r="J7" s="54">
        <f t="shared" ref="J7:O7" si="6">J6-I6</f>
        <v>1.0360133928571429</v>
      </c>
      <c r="K7" s="54">
        <f t="shared" si="6"/>
        <v>1.0360133928571464</v>
      </c>
      <c r="L7" s="54">
        <f>L6-K6</f>
        <v>1.13961473214286</v>
      </c>
      <c r="M7" s="54">
        <f>M6-L6</f>
        <v>1.1396147321428565</v>
      </c>
      <c r="N7" s="54">
        <f t="shared" si="6"/>
        <v>2.5071524107142871</v>
      </c>
      <c r="O7" s="54">
        <f t="shared" si="6"/>
        <v>2.7578676517857161</v>
      </c>
      <c r="P7" s="1"/>
      <c r="U7" s="1">
        <v>2</v>
      </c>
      <c r="V7" s="45">
        <f t="shared" si="0"/>
        <v>18.553324086079986</v>
      </c>
      <c r="W7" s="45">
        <f t="shared" si="1"/>
        <v>21.769231417410708</v>
      </c>
      <c r="X7" s="45">
        <f t="shared" si="2"/>
        <v>23.946154559151786</v>
      </c>
      <c r="Y7" s="45">
        <f t="shared" si="3"/>
        <v>26.340770015066969</v>
      </c>
      <c r="Z7" s="45">
        <f t="shared" si="4"/>
        <v>28.974847016573662</v>
      </c>
      <c r="AA7" s="45">
        <f t="shared" si="5"/>
        <v>31.872331718231035</v>
      </c>
    </row>
    <row r="8" spans="1:27" x14ac:dyDescent="0.2">
      <c r="A8" s="55" t="s">
        <v>64</v>
      </c>
      <c r="B8" s="58">
        <f>'1A'!B20</f>
        <v>14.13</v>
      </c>
      <c r="C8" s="113">
        <f>'1A'!C20</f>
        <v>29390.400000000001</v>
      </c>
      <c r="D8" s="58">
        <f>'1A'!D20</f>
        <v>18.83660714285714</v>
      </c>
      <c r="E8" s="113">
        <f>'1A'!E20</f>
        <v>39180.142857142848</v>
      </c>
      <c r="F8" s="58">
        <f>'1A'!F20</f>
        <v>16.053928147600445</v>
      </c>
      <c r="G8" s="59">
        <f>'1A'!G20</f>
        <v>16.053928147600445</v>
      </c>
      <c r="H8" s="59">
        <f>'1A'!H20</f>
        <v>16.053928147600445</v>
      </c>
      <c r="I8" s="60">
        <f>'1A'!I20</f>
        <v>18.83660714285714</v>
      </c>
      <c r="J8" s="60">
        <f>'1A'!J20</f>
        <v>19.778437499999999</v>
      </c>
      <c r="K8" s="60">
        <f>'1A'!K20</f>
        <v>20.720267857142854</v>
      </c>
      <c r="L8" s="60">
        <f>'1A'!L20</f>
        <v>21.756281249999997</v>
      </c>
      <c r="M8" s="60">
        <f>'1A'!M20</f>
        <v>22.79229464285714</v>
      </c>
      <c r="N8" s="60">
        <f>'1A'!N20</f>
        <v>25.071524107142857</v>
      </c>
      <c r="O8" s="61">
        <f>'1A'!O20</f>
        <v>27.578676517857144</v>
      </c>
      <c r="P8" s="45"/>
      <c r="U8" s="1">
        <v>3</v>
      </c>
      <c r="V8" s="45">
        <f t="shared" si="0"/>
        <v>19.017157188231984</v>
      </c>
      <c r="W8" s="45">
        <f t="shared" si="1"/>
        <v>22.313462202845972</v>
      </c>
      <c r="X8" s="45">
        <f t="shared" si="2"/>
        <v>24.544808423130579</v>
      </c>
      <c r="Y8" s="45">
        <f t="shared" si="3"/>
        <v>26.99928926544364</v>
      </c>
      <c r="Z8" s="45">
        <f t="shared" si="4"/>
        <v>29.699218191988003</v>
      </c>
      <c r="AA8" s="45">
        <f t="shared" si="5"/>
        <v>32.669140011186805</v>
      </c>
    </row>
    <row r="9" spans="1:27" x14ac:dyDescent="0.2">
      <c r="A9" s="286" t="s">
        <v>135</v>
      </c>
      <c r="B9" s="287"/>
      <c r="C9" s="287"/>
      <c r="D9" s="287"/>
      <c r="E9" s="287"/>
      <c r="F9" s="287"/>
      <c r="G9" s="287"/>
      <c r="H9" s="288"/>
      <c r="I9" s="54">
        <f>I8-H8</f>
        <v>2.7826789952566955</v>
      </c>
      <c r="J9" s="54">
        <f t="shared" ref="J9:N9" si="7">J8-I8</f>
        <v>0.94183035714285879</v>
      </c>
      <c r="K9" s="54">
        <f t="shared" si="7"/>
        <v>0.94183035714285523</v>
      </c>
      <c r="L9" s="54">
        <f t="shared" si="7"/>
        <v>1.0360133928571429</v>
      </c>
      <c r="M9" s="54">
        <f t="shared" si="7"/>
        <v>1.0360133928571429</v>
      </c>
      <c r="N9" s="54">
        <f t="shared" si="7"/>
        <v>2.2792294642857165</v>
      </c>
      <c r="O9" s="54">
        <f>O8-N8</f>
        <v>2.5071524107142871</v>
      </c>
      <c r="P9" s="1"/>
      <c r="U9" s="1">
        <v>4</v>
      </c>
      <c r="V9" s="45">
        <f t="shared" si="0"/>
        <v>19.492586117937783</v>
      </c>
      <c r="W9" s="45">
        <f t="shared" si="1"/>
        <v>22.871298757917121</v>
      </c>
      <c r="X9" s="45">
        <f t="shared" si="2"/>
        <v>25.158428633708841</v>
      </c>
      <c r="Y9" s="45">
        <f t="shared" si="3"/>
        <v>27.674271497079729</v>
      </c>
      <c r="Z9" s="45">
        <f t="shared" si="4"/>
        <v>30.4416986467877</v>
      </c>
      <c r="AA9" s="45">
        <f t="shared" si="5"/>
        <v>33.485868511466471</v>
      </c>
    </row>
    <row r="10" spans="1:27" x14ac:dyDescent="0.2">
      <c r="P10" s="1"/>
      <c r="Q10" s="39"/>
      <c r="U10" s="1">
        <v>5</v>
      </c>
      <c r="V10" s="45">
        <f t="shared" si="0"/>
        <v>19.979900770886225</v>
      </c>
      <c r="W10" s="45">
        <f t="shared" si="1"/>
        <v>23.443081226865047</v>
      </c>
      <c r="X10" s="45">
        <f t="shared" si="2"/>
        <v>25.78738934955156</v>
      </c>
      <c r="Y10" s="45">
        <f t="shared" si="3"/>
        <v>28.366128284506722</v>
      </c>
      <c r="Z10" s="45">
        <f t="shared" si="4"/>
        <v>31.202741112957391</v>
      </c>
      <c r="AA10" s="45">
        <f t="shared" si="5"/>
        <v>34.323015224253133</v>
      </c>
    </row>
    <row r="11" spans="1:27" x14ac:dyDescent="0.2">
      <c r="P11" s="1"/>
      <c r="Q11" s="39"/>
      <c r="U11" s="1">
        <v>6</v>
      </c>
      <c r="V11" s="45">
        <f t="shared" si="0"/>
        <v>20.479398290158379</v>
      </c>
      <c r="W11" s="45">
        <f t="shared" si="1"/>
        <v>24.029158257536672</v>
      </c>
      <c r="X11" s="45">
        <f t="shared" si="2"/>
        <v>26.432074083290345</v>
      </c>
      <c r="Y11" s="45">
        <f t="shared" si="3"/>
        <v>29.075281491619389</v>
      </c>
      <c r="Z11" s="45">
        <f t="shared" si="4"/>
        <v>31.982809640781323</v>
      </c>
      <c r="AA11" s="45">
        <f t="shared" si="5"/>
        <v>35.181090604859456</v>
      </c>
    </row>
    <row r="12" spans="1:27" x14ac:dyDescent="0.2">
      <c r="P12" s="1"/>
      <c r="Q12" s="39"/>
      <c r="U12" s="1">
        <v>7</v>
      </c>
      <c r="V12" s="45">
        <f t="shared" si="0"/>
        <v>20.991383247412337</v>
      </c>
      <c r="W12" s="45">
        <f t="shared" si="1"/>
        <v>24.629887213975085</v>
      </c>
      <c r="X12" s="45">
        <f t="shared" si="2"/>
        <v>27.0928759353726</v>
      </c>
      <c r="Y12" s="45">
        <f t="shared" si="3"/>
        <v>29.802163528909873</v>
      </c>
      <c r="Z12" s="45">
        <f t="shared" si="4"/>
        <v>32.78237988180085</v>
      </c>
      <c r="AA12" s="45">
        <f t="shared" si="5"/>
        <v>36.060617869980938</v>
      </c>
    </row>
    <row r="13" spans="1:27" x14ac:dyDescent="0.2">
      <c r="U13" s="1">
        <v>8</v>
      </c>
      <c r="V13" s="45">
        <f t="shared" si="0"/>
        <v>21.516167828597645</v>
      </c>
      <c r="W13" s="45">
        <f t="shared" si="1"/>
        <v>25.245634394324458</v>
      </c>
      <c r="X13" s="45">
        <f t="shared" si="2"/>
        <v>27.770197833756914</v>
      </c>
      <c r="Y13" s="45">
        <f t="shared" si="3"/>
        <v>30.547217617132617</v>
      </c>
      <c r="Z13" s="45">
        <f t="shared" si="4"/>
        <v>33.60193937884587</v>
      </c>
      <c r="AA13" s="45">
        <f t="shared" si="5"/>
        <v>36.962133316730458</v>
      </c>
    </row>
    <row r="14" spans="1:27" ht="16.5" thickBot="1" x14ac:dyDescent="0.3">
      <c r="A14" s="28" t="s">
        <v>247</v>
      </c>
      <c r="B14" s="28"/>
      <c r="C14" s="28"/>
      <c r="D14" s="28"/>
      <c r="E14" s="28"/>
      <c r="F14" s="28"/>
      <c r="G14" s="28"/>
      <c r="H14" s="28"/>
      <c r="I14" s="28"/>
      <c r="J14" s="28"/>
      <c r="K14" s="28"/>
      <c r="L14" s="28"/>
      <c r="M14" s="28"/>
      <c r="N14" s="28"/>
      <c r="O14" s="28"/>
      <c r="P14" s="28"/>
      <c r="Q14" s="28"/>
      <c r="R14" s="28"/>
      <c r="S14" s="28"/>
      <c r="T14" s="28"/>
      <c r="U14" s="1">
        <v>9</v>
      </c>
      <c r="V14" s="45">
        <f t="shared" si="0"/>
        <v>22.054072024312585</v>
      </c>
      <c r="W14" s="45">
        <f t="shared" si="1"/>
        <v>25.876775254182569</v>
      </c>
      <c r="X14" s="45">
        <f t="shared" si="2"/>
        <v>28.464452779600833</v>
      </c>
      <c r="Y14" s="45">
        <f t="shared" si="3"/>
        <v>31.31089805756093</v>
      </c>
      <c r="Z14" s="45">
        <f t="shared" si="4"/>
        <v>34.441987863317017</v>
      </c>
      <c r="AA14" s="45">
        <f t="shared" si="5"/>
        <v>37.886186649648714</v>
      </c>
    </row>
    <row r="15" spans="1:27"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2"/>
      <c r="U15" s="1">
        <v>10</v>
      </c>
      <c r="V15" s="45">
        <f t="shared" si="0"/>
        <v>22.605423824920397</v>
      </c>
      <c r="W15" s="45">
        <f t="shared" si="1"/>
        <v>26.523694635537129</v>
      </c>
      <c r="X15" s="45">
        <f t="shared" si="2"/>
        <v>29.176064099090851</v>
      </c>
      <c r="Y15" s="45">
        <f t="shared" si="3"/>
        <v>32.093670508999949</v>
      </c>
      <c r="Z15" s="45">
        <f t="shared" si="4"/>
        <v>35.303037559899941</v>
      </c>
      <c r="AA15" s="45">
        <f t="shared" si="5"/>
        <v>38.833341315889932</v>
      </c>
    </row>
    <row r="16" spans="1:27"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3"/>
      <c r="U16" s="1">
        <v>11</v>
      </c>
      <c r="V16" s="45">
        <f t="shared" si="0"/>
        <v>23.170559420543405</v>
      </c>
      <c r="W16" s="45">
        <f t="shared" si="1"/>
        <v>27.186787001425554</v>
      </c>
      <c r="X16" s="45">
        <f t="shared" si="2"/>
        <v>29.905465701568119</v>
      </c>
      <c r="Y16" s="45">
        <f t="shared" si="3"/>
        <v>32.896012271724942</v>
      </c>
      <c r="Z16" s="45">
        <f t="shared" si="4"/>
        <v>36.185613498897439</v>
      </c>
      <c r="AA16" s="45">
        <f t="shared" si="5"/>
        <v>39.804174848787177</v>
      </c>
    </row>
    <row r="17" spans="1:27" ht="15" thickBot="1" x14ac:dyDescent="0.25">
      <c r="A17" s="276"/>
      <c r="B17" s="64" t="s">
        <v>141</v>
      </c>
      <c r="C17" s="65" t="s">
        <v>142</v>
      </c>
      <c r="D17" s="65" t="s">
        <v>143</v>
      </c>
      <c r="E17" s="66" t="s">
        <v>141</v>
      </c>
      <c r="F17" s="67" t="s">
        <v>142</v>
      </c>
      <c r="G17" s="68" t="s">
        <v>143</v>
      </c>
      <c r="H17" s="65" t="s">
        <v>141</v>
      </c>
      <c r="I17" s="65" t="s">
        <v>142</v>
      </c>
      <c r="J17" s="69" t="s">
        <v>143</v>
      </c>
      <c r="K17" s="64" t="s">
        <v>141</v>
      </c>
      <c r="L17" s="65" t="s">
        <v>142</v>
      </c>
      <c r="M17" s="69" t="s">
        <v>143</v>
      </c>
      <c r="N17" s="64" t="s">
        <v>141</v>
      </c>
      <c r="O17" s="65" t="s">
        <v>142</v>
      </c>
      <c r="P17" s="69" t="s">
        <v>143</v>
      </c>
      <c r="Q17" s="64" t="s">
        <v>141</v>
      </c>
      <c r="R17" s="65" t="s">
        <v>142</v>
      </c>
      <c r="S17" s="69" t="s">
        <v>143</v>
      </c>
      <c r="T17" s="70"/>
      <c r="U17" s="1">
        <v>12</v>
      </c>
      <c r="V17" s="45">
        <f t="shared" si="0"/>
        <v>23.74982340605699</v>
      </c>
      <c r="W17" s="45">
        <f t="shared" si="1"/>
        <v>27.866456676461191</v>
      </c>
      <c r="X17" s="45">
        <f t="shared" si="2"/>
        <v>30.653102344107317</v>
      </c>
      <c r="Y17" s="45">
        <f t="shared" si="3"/>
        <v>33.718412578518063</v>
      </c>
      <c r="Z17" s="45">
        <f t="shared" si="4"/>
        <v>37.090253836369868</v>
      </c>
      <c r="AA17" s="45">
        <f t="shared" si="5"/>
        <v>40.799279220006852</v>
      </c>
    </row>
    <row r="18" spans="1:27" x14ac:dyDescent="0.2">
      <c r="A18" s="71" t="s">
        <v>144</v>
      </c>
      <c r="B18" s="72">
        <f>H6</f>
        <v>17.659320962360489</v>
      </c>
      <c r="C18" s="72">
        <f>MEDIAN(B18,D18)</f>
        <v>18.338239075296237</v>
      </c>
      <c r="D18" s="72">
        <f>B18*((1.025)^3)</f>
        <v>19.017157188231987</v>
      </c>
      <c r="E18" s="73">
        <f>I6</f>
        <v>20.720267857142858</v>
      </c>
      <c r="F18" s="72">
        <f>MEDIAN(E18,G18)</f>
        <v>21.51686502999442</v>
      </c>
      <c r="G18" s="74">
        <f>E18*((1.025)^3)</f>
        <v>22.313462202845979</v>
      </c>
      <c r="H18" s="72">
        <f>K6</f>
        <v>22.792294642857147</v>
      </c>
      <c r="I18" s="72">
        <f>MEDIAN(H18,J18)</f>
        <v>23.668551532993867</v>
      </c>
      <c r="J18" s="74">
        <f>H18*((1.025)^3)</f>
        <v>24.544808423130583</v>
      </c>
      <c r="K18" s="73">
        <f>M6</f>
        <v>25.071524107142864</v>
      </c>
      <c r="L18" s="72">
        <f>MEDIAN(K18,M18)</f>
        <v>26.035406686293253</v>
      </c>
      <c r="M18" s="74">
        <f>K18*((1.025)^3)</f>
        <v>26.999289265443643</v>
      </c>
      <c r="N18" s="73">
        <f>N6</f>
        <v>27.578676517857151</v>
      </c>
      <c r="O18" s="72">
        <f>MEDIAN(N18,P18)</f>
        <v>28.638947354922578</v>
      </c>
      <c r="P18" s="74">
        <f>N18*((1.025)^3)</f>
        <v>29.699218191988006</v>
      </c>
      <c r="Q18" s="73">
        <f>O6</f>
        <v>30.336544169642867</v>
      </c>
      <c r="R18" s="72">
        <f>MEDIAN(Q18,S18)</f>
        <v>31.502842090414838</v>
      </c>
      <c r="S18" s="74">
        <f>Q18*((1.025)^3)</f>
        <v>32.669140011186812</v>
      </c>
      <c r="T18" s="72"/>
      <c r="U18" s="1">
        <v>13</v>
      </c>
      <c r="V18" s="45">
        <f t="shared" si="0"/>
        <v>24.343568991208414</v>
      </c>
      <c r="W18" s="45">
        <f t="shared" si="1"/>
        <v>28.563118093372719</v>
      </c>
      <c r="X18" s="45">
        <f t="shared" si="2"/>
        <v>31.419429902709997</v>
      </c>
      <c r="Y18" s="45">
        <f t="shared" si="3"/>
        <v>34.561372892981012</v>
      </c>
      <c r="Z18" s="45">
        <f t="shared" si="4"/>
        <v>38.017510182279111</v>
      </c>
      <c r="AA18" s="45">
        <f t="shared" si="5"/>
        <v>41.819261200507022</v>
      </c>
    </row>
    <row r="19" spans="1:27" x14ac:dyDescent="0.2">
      <c r="A19" s="75" t="s">
        <v>145</v>
      </c>
      <c r="B19" s="72">
        <f>B18*((1.025)^4)</f>
        <v>19.492586117937783</v>
      </c>
      <c r="C19" s="72">
        <f t="shared" ref="C19:C23" si="8">MEDIAN(B19,D19)</f>
        <v>19.985992204048081</v>
      </c>
      <c r="D19" s="72">
        <f>B18*((1.025)^6)</f>
        <v>20.479398290158382</v>
      </c>
      <c r="E19" s="73">
        <f>E18*((1.025)^4)</f>
        <v>22.871298757917128</v>
      </c>
      <c r="F19" s="72">
        <f t="shared" ref="F19:F23" si="9">MEDIAN(E19,G19)</f>
        <v>23.450228507726905</v>
      </c>
      <c r="G19" s="74">
        <f>E18*((1.025)^6)</f>
        <v>24.029158257536679</v>
      </c>
      <c r="H19" s="72">
        <f>H18*((1.025)^4)</f>
        <v>25.158428633708844</v>
      </c>
      <c r="I19" s="72">
        <f t="shared" ref="I19:I23" si="10">MEDIAN(H19,J19)</f>
        <v>25.795251358499598</v>
      </c>
      <c r="J19" s="74">
        <f>H18*((1.025)^6)</f>
        <v>26.432074083290349</v>
      </c>
      <c r="K19" s="73">
        <f>K18*((1.025)^4)</f>
        <v>27.674271497079729</v>
      </c>
      <c r="L19" s="72">
        <f t="shared" ref="L19:L23" si="11">MEDIAN(K19,M19)</f>
        <v>28.374776494349558</v>
      </c>
      <c r="M19" s="74">
        <f>K18*((1.025)^6)</f>
        <v>29.075281491619386</v>
      </c>
      <c r="N19" s="73">
        <f>N18*((1.025)^4)</f>
        <v>30.441698646787703</v>
      </c>
      <c r="O19" s="72">
        <f t="shared" ref="O19:O23" si="12">MEDIAN(N19,P19)</f>
        <v>31.212254143784513</v>
      </c>
      <c r="P19" s="74">
        <f>N18*((1.025)^6)</f>
        <v>31.982809640781326</v>
      </c>
      <c r="Q19" s="73">
        <f>Q18*((1.025)^4)</f>
        <v>33.485868511466478</v>
      </c>
      <c r="R19" s="72">
        <f t="shared" ref="R19:R23" si="13">MEDIAN(Q19,S19)</f>
        <v>34.333479558162971</v>
      </c>
      <c r="S19" s="74">
        <f>Q18*((1.025)^6)</f>
        <v>35.181090604859463</v>
      </c>
      <c r="T19" s="72"/>
      <c r="U19" s="1">
        <v>14</v>
      </c>
      <c r="V19" s="45">
        <f t="shared" si="0"/>
        <v>24.952158215988621</v>
      </c>
      <c r="W19" s="45">
        <f t="shared" si="1"/>
        <v>29.277196045707033</v>
      </c>
      <c r="X19" s="45">
        <f t="shared" si="2"/>
        <v>32.204915650277741</v>
      </c>
      <c r="Y19" s="45">
        <f t="shared" si="3"/>
        <v>35.425407215305533</v>
      </c>
      <c r="Z19" s="45">
        <f t="shared" si="4"/>
        <v>38.967947936836083</v>
      </c>
      <c r="AA19" s="45">
        <f t="shared" si="5"/>
        <v>42.864742730519694</v>
      </c>
    </row>
    <row r="20" spans="1:27" x14ac:dyDescent="0.2">
      <c r="A20" s="75" t="s">
        <v>146</v>
      </c>
      <c r="B20" s="72">
        <f>B18*((1.025)^7)</f>
        <v>20.99138324741234</v>
      </c>
      <c r="C20" s="72">
        <f t="shared" si="8"/>
        <v>21.522727635862463</v>
      </c>
      <c r="D20" s="72">
        <f>B18*((1.025)^9)</f>
        <v>22.054072024312585</v>
      </c>
      <c r="E20" s="73">
        <f>E18*((1.025)^7)</f>
        <v>24.629887213975096</v>
      </c>
      <c r="F20" s="72">
        <f t="shared" si="9"/>
        <v>25.253331234078836</v>
      </c>
      <c r="G20" s="74">
        <f>E18*((1.025)^9)</f>
        <v>25.876775254182579</v>
      </c>
      <c r="H20" s="72">
        <f>H18*((1.025)^7)</f>
        <v>27.092875935372611</v>
      </c>
      <c r="I20" s="72">
        <f t="shared" si="10"/>
        <v>27.778664357486726</v>
      </c>
      <c r="J20" s="74">
        <f>H18*((1.025)^9)</f>
        <v>28.46445277960084</v>
      </c>
      <c r="K20" s="73">
        <f>K18*((1.025)^7)</f>
        <v>29.802163528909873</v>
      </c>
      <c r="L20" s="72">
        <f t="shared" si="11"/>
        <v>30.5565307932354</v>
      </c>
      <c r="M20" s="74">
        <f>K18*((1.025)^9)</f>
        <v>31.310898057560927</v>
      </c>
      <c r="N20" s="73">
        <f>N18*((1.025)^7)</f>
        <v>32.782379881800864</v>
      </c>
      <c r="O20" s="72">
        <f t="shared" si="12"/>
        <v>33.612183872558944</v>
      </c>
      <c r="P20" s="74">
        <f>N18*((1.025)^9)</f>
        <v>34.441987863317024</v>
      </c>
      <c r="Q20" s="73">
        <f>Q18*((1.025)^7)</f>
        <v>36.060617869980952</v>
      </c>
      <c r="R20" s="72">
        <f t="shared" si="13"/>
        <v>36.97340225981484</v>
      </c>
      <c r="S20" s="74">
        <f>Q18*((1.025)^9)</f>
        <v>37.886186649648728</v>
      </c>
      <c r="T20" s="72"/>
      <c r="U20" s="1">
        <v>15</v>
      </c>
      <c r="V20" s="45">
        <f t="shared" si="0"/>
        <v>25.575962171388333</v>
      </c>
      <c r="W20" s="45">
        <f t="shared" si="1"/>
        <v>30.009125946849707</v>
      </c>
      <c r="X20" s="45">
        <f t="shared" si="2"/>
        <v>33.010038541534684</v>
      </c>
      <c r="Y20" s="45">
        <f t="shared" si="3"/>
        <v>36.311042395688169</v>
      </c>
      <c r="Z20" s="45">
        <f t="shared" si="4"/>
        <v>39.942146635256982</v>
      </c>
      <c r="AA20" s="45">
        <f t="shared" si="5"/>
        <v>43.936361298782685</v>
      </c>
    </row>
    <row r="21" spans="1:27" x14ac:dyDescent="0.2">
      <c r="A21" s="75" t="s">
        <v>147</v>
      </c>
      <c r="B21" s="72">
        <f>B18*((1.025)^10)</f>
        <v>22.6054238249204</v>
      </c>
      <c r="C21" s="72">
        <f t="shared" si="8"/>
        <v>23.177623615488699</v>
      </c>
      <c r="D21" s="72">
        <f>B18*((1.025)^12)</f>
        <v>23.749823406056993</v>
      </c>
      <c r="E21" s="73">
        <f>E18*((1.025)^10)</f>
        <v>26.523694635537144</v>
      </c>
      <c r="F21" s="72">
        <f t="shared" si="9"/>
        <v>27.195075655999176</v>
      </c>
      <c r="G21" s="74">
        <f>E18*((1.025)^12)</f>
        <v>27.866456676461208</v>
      </c>
      <c r="H21" s="72">
        <f>H18*((1.025)^10)</f>
        <v>29.176064099090862</v>
      </c>
      <c r="I21" s="72">
        <f t="shared" si="10"/>
        <v>29.914583221599099</v>
      </c>
      <c r="J21" s="74">
        <f>H18*((1.025)^12)</f>
        <v>30.653102344107335</v>
      </c>
      <c r="K21" s="73">
        <f>K18*((1.025)^10)</f>
        <v>32.093670508999949</v>
      </c>
      <c r="L21" s="72">
        <f t="shared" si="11"/>
        <v>32.906041543759009</v>
      </c>
      <c r="M21" s="74">
        <f>K18*((1.025)^12)</f>
        <v>33.71841257851807</v>
      </c>
      <c r="N21" s="73">
        <f>N18*((1.025)^10)</f>
        <v>35.303037559899948</v>
      </c>
      <c r="O21" s="72">
        <f t="shared" si="12"/>
        <v>36.196645698134915</v>
      </c>
      <c r="P21" s="74">
        <f>N18*((1.025)^12)</f>
        <v>37.090253836369875</v>
      </c>
      <c r="Q21" s="73">
        <f>Q18*((1.025)^10)</f>
        <v>38.833341315889946</v>
      </c>
      <c r="R21" s="72">
        <f t="shared" si="13"/>
        <v>39.81631026794841</v>
      </c>
      <c r="S21" s="74">
        <f>Q18*((1.025)^12)</f>
        <v>40.799279220006866</v>
      </c>
      <c r="T21" s="72"/>
      <c r="U21" s="1">
        <v>16</v>
      </c>
      <c r="V21" s="45">
        <f t="shared" si="0"/>
        <v>26.215361225673039</v>
      </c>
      <c r="W21" s="45">
        <f t="shared" si="1"/>
        <v>30.759354095520948</v>
      </c>
      <c r="X21" s="45">
        <f t="shared" si="2"/>
        <v>33.83528950507305</v>
      </c>
      <c r="Y21" s="45">
        <f t="shared" si="3"/>
        <v>37.218818455580369</v>
      </c>
      <c r="Z21" s="45">
        <f t="shared" si="4"/>
        <v>40.940700301138406</v>
      </c>
      <c r="AA21" s="45">
        <f t="shared" si="5"/>
        <v>45.034770331252247</v>
      </c>
    </row>
    <row r="22" spans="1:27" x14ac:dyDescent="0.2">
      <c r="A22" s="75" t="s">
        <v>148</v>
      </c>
      <c r="B22" s="72">
        <f>B18*((1.025)^13)</f>
        <v>24.343568991208418</v>
      </c>
      <c r="C22" s="72">
        <f t="shared" si="8"/>
        <v>24.959765581298381</v>
      </c>
      <c r="D22" s="72">
        <f>B18*((1.025)^15)</f>
        <v>25.575962171388344</v>
      </c>
      <c r="E22" s="73">
        <f>E18*((1.025)^13)</f>
        <v>28.563118093372736</v>
      </c>
      <c r="F22" s="72">
        <f t="shared" si="9"/>
        <v>29.286122020111236</v>
      </c>
      <c r="G22" s="74">
        <f>E18*((1.025)^15)</f>
        <v>30.009125946849736</v>
      </c>
      <c r="H22" s="72">
        <f>H18*((1.025)^13)</f>
        <v>31.419429902710018</v>
      </c>
      <c r="I22" s="72">
        <f t="shared" si="10"/>
        <v>32.214734222122367</v>
      </c>
      <c r="J22" s="74">
        <f>H18*((1.025)^15)</f>
        <v>33.010038541534712</v>
      </c>
      <c r="K22" s="73">
        <f>K18*((1.025)^13)</f>
        <v>34.561372892981019</v>
      </c>
      <c r="L22" s="72">
        <f t="shared" si="11"/>
        <v>35.436207644334601</v>
      </c>
      <c r="M22" s="74">
        <f>K18*((1.025)^15)</f>
        <v>36.311042395688183</v>
      </c>
      <c r="N22" s="73">
        <f>N18*((1.025)^13)</f>
        <v>38.017510182279125</v>
      </c>
      <c r="O22" s="72">
        <f t="shared" si="12"/>
        <v>38.979828408768064</v>
      </c>
      <c r="P22" s="74">
        <f>N18*((1.025)^15)</f>
        <v>39.942146635257004</v>
      </c>
      <c r="Q22" s="73">
        <f>Q18*((1.025)^13)</f>
        <v>41.819261200507036</v>
      </c>
      <c r="R22" s="72">
        <f t="shared" si="13"/>
        <v>42.877811249644871</v>
      </c>
      <c r="S22" s="74">
        <f>Q18*((1.025)^15)</f>
        <v>43.936361298782707</v>
      </c>
      <c r="T22" s="72"/>
      <c r="U22" s="1">
        <v>17</v>
      </c>
      <c r="V22" s="45">
        <f t="shared" si="0"/>
        <v>26.870745256314862</v>
      </c>
      <c r="W22" s="45">
        <f t="shared" si="1"/>
        <v>31.52833794790897</v>
      </c>
      <c r="X22" s="45">
        <f t="shared" si="2"/>
        <v>34.681171742699874</v>
      </c>
      <c r="Y22" s="45">
        <f t="shared" si="3"/>
        <v>38.149288916969873</v>
      </c>
      <c r="Z22" s="45">
        <f t="shared" si="4"/>
        <v>41.964217808666859</v>
      </c>
      <c r="AA22" s="45">
        <f t="shared" si="5"/>
        <v>46.160639589533552</v>
      </c>
    </row>
    <row r="23" spans="1:27" x14ac:dyDescent="0.2">
      <c r="A23" s="75" t="s">
        <v>149</v>
      </c>
      <c r="B23" s="72">
        <f>B18*((1.025)^16)</f>
        <v>26.21536122567305</v>
      </c>
      <c r="C23" s="72">
        <f t="shared" si="8"/>
        <v>27.576107439480879</v>
      </c>
      <c r="D23" s="72">
        <f>B18*((1.025)^20)</f>
        <v>28.936853653288708</v>
      </c>
      <c r="E23" s="73">
        <f>E18*((1.025)^16)</f>
        <v>30.759354095520976</v>
      </c>
      <c r="F23" s="72">
        <f t="shared" si="9"/>
        <v>32.355962826727954</v>
      </c>
      <c r="G23" s="74">
        <f>E18*((1.025)^20)</f>
        <v>33.952571557934931</v>
      </c>
      <c r="H23" s="73">
        <f>H18*((1.025)^16)</f>
        <v>33.835289505073078</v>
      </c>
      <c r="I23" s="72">
        <f t="shared" si="10"/>
        <v>35.591559109400755</v>
      </c>
      <c r="J23" s="74">
        <f>H18*((1.025)^20)</f>
        <v>37.347828713728433</v>
      </c>
      <c r="K23" s="72">
        <f>K18*((1.025)^16)</f>
        <v>37.21881845558039</v>
      </c>
      <c r="L23" s="72">
        <f t="shared" si="11"/>
        <v>39.150715020340833</v>
      </c>
      <c r="M23" s="74">
        <f>K18*((1.025)^20)</f>
        <v>41.082611585101276</v>
      </c>
      <c r="N23" s="72">
        <f>N18*((1.025)^16)</f>
        <v>40.940700301138428</v>
      </c>
      <c r="O23" s="72">
        <f t="shared" si="12"/>
        <v>43.065786522374921</v>
      </c>
      <c r="P23" s="72">
        <f>N18*((1.025)^20)</f>
        <v>45.190872743611408</v>
      </c>
      <c r="Q23" s="73">
        <f>Q18*((1.025)^16)</f>
        <v>45.034770331252268</v>
      </c>
      <c r="R23" s="72">
        <f t="shared" si="13"/>
        <v>47.372365174612412</v>
      </c>
      <c r="S23" s="74">
        <f>Q18*((1.025)^20)</f>
        <v>49.709960017972548</v>
      </c>
      <c r="T23" s="72"/>
      <c r="U23" s="1">
        <v>18</v>
      </c>
      <c r="V23" s="45">
        <f t="shared" si="0"/>
        <v>27.54251388772273</v>
      </c>
      <c r="W23" s="45">
        <f t="shared" si="1"/>
        <v>32.316546396606689</v>
      </c>
      <c r="X23" s="45">
        <f t="shared" si="2"/>
        <v>35.548201036267365</v>
      </c>
      <c r="Y23" s="45">
        <f t="shared" si="3"/>
        <v>39.103021139894118</v>
      </c>
      <c r="Z23" s="45">
        <f t="shared" si="4"/>
        <v>43.013323253883527</v>
      </c>
      <c r="AA23" s="45">
        <f t="shared" si="5"/>
        <v>47.314655579271886</v>
      </c>
    </row>
    <row r="24" spans="1:27" ht="15" x14ac:dyDescent="0.25">
      <c r="A24" s="43"/>
      <c r="B24" s="35"/>
      <c r="C24" s="45"/>
      <c r="D24" s="35"/>
      <c r="E24" s="80"/>
      <c r="F24" s="80"/>
      <c r="G24" s="80"/>
      <c r="H24" s="80"/>
      <c r="I24" s="72"/>
      <c r="J24" s="72"/>
      <c r="M24" s="39"/>
      <c r="P24" s="1"/>
      <c r="U24" s="1">
        <v>19</v>
      </c>
      <c r="V24" s="45">
        <f t="shared" si="0"/>
        <v>28.231076734915796</v>
      </c>
      <c r="W24" s="45">
        <f t="shared" si="1"/>
        <v>33.124460056521855</v>
      </c>
      <c r="X24" s="45">
        <f t="shared" si="2"/>
        <v>36.436906062174046</v>
      </c>
      <c r="Y24" s="45">
        <f t="shared" si="3"/>
        <v>40.080596668391465</v>
      </c>
      <c r="Z24" s="45">
        <f t="shared" si="4"/>
        <v>44.08865633523061</v>
      </c>
      <c r="AA24" s="45">
        <f t="shared" si="5"/>
        <v>48.497521968753681</v>
      </c>
    </row>
    <row r="25" spans="1:27" ht="15" x14ac:dyDescent="0.25">
      <c r="A25" s="43"/>
      <c r="B25" s="35"/>
      <c r="C25" s="45"/>
      <c r="D25" s="35"/>
      <c r="E25" s="80"/>
      <c r="F25" s="80"/>
      <c r="G25" s="80"/>
      <c r="H25" s="80"/>
      <c r="I25" s="72"/>
      <c r="J25" s="72"/>
      <c r="M25" s="39"/>
      <c r="P25" s="1"/>
      <c r="U25" s="1">
        <v>20</v>
      </c>
      <c r="V25" s="45">
        <f t="shared" si="0"/>
        <v>28.936853653288686</v>
      </c>
      <c r="W25" s="45">
        <f t="shared" si="1"/>
        <v>33.952571557934895</v>
      </c>
      <c r="X25" s="45">
        <f t="shared" si="2"/>
        <v>37.347828713728397</v>
      </c>
      <c r="Y25" s="45">
        <f t="shared" si="3"/>
        <v>41.082611585101247</v>
      </c>
      <c r="Z25" s="45">
        <f t="shared" si="4"/>
        <v>45.190872743611372</v>
      </c>
      <c r="AA25" s="45">
        <f t="shared" si="5"/>
        <v>49.70996001797252</v>
      </c>
    </row>
    <row r="26" spans="1:27" ht="15" x14ac:dyDescent="0.25">
      <c r="A26" s="43"/>
      <c r="B26" s="35"/>
      <c r="C26" s="45"/>
      <c r="D26" s="35"/>
      <c r="E26" s="80"/>
      <c r="F26" s="80"/>
      <c r="G26" s="80"/>
      <c r="H26" s="80"/>
      <c r="I26" s="72"/>
      <c r="J26" s="72"/>
      <c r="M26" s="39"/>
      <c r="P26" s="1"/>
      <c r="V26" s="45"/>
      <c r="W26" s="45"/>
      <c r="X26" s="45"/>
    </row>
    <row r="27" spans="1:27" x14ac:dyDescent="0.2">
      <c r="O27" s="39"/>
      <c r="P27" s="1"/>
      <c r="U27" s="45"/>
    </row>
    <row r="28" spans="1:27" ht="16.5" thickBot="1" x14ac:dyDescent="0.3">
      <c r="A28" s="28" t="s">
        <v>248</v>
      </c>
      <c r="B28" s="28"/>
      <c r="C28" s="28"/>
      <c r="D28" s="28"/>
      <c r="E28" s="28"/>
      <c r="F28" s="28"/>
      <c r="G28" s="28"/>
      <c r="H28" s="28"/>
      <c r="I28" s="28"/>
      <c r="J28" s="28"/>
      <c r="K28" s="28"/>
      <c r="L28" s="28"/>
      <c r="M28" s="28"/>
      <c r="N28" s="28"/>
      <c r="O28" s="28"/>
      <c r="P28" s="28"/>
      <c r="Q28" s="28"/>
      <c r="R28" s="28"/>
      <c r="S28" s="28"/>
      <c r="V28" s="273" t="s">
        <v>54</v>
      </c>
      <c r="W28" s="273"/>
      <c r="X28" s="273"/>
      <c r="Y28" s="273"/>
      <c r="Z28" s="273"/>
      <c r="AA28" s="273"/>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1" t="s">
        <v>130</v>
      </c>
      <c r="V29" s="43" t="s">
        <v>131</v>
      </c>
      <c r="W29" s="43" t="s">
        <v>48</v>
      </c>
      <c r="X29" s="43" t="s">
        <v>50</v>
      </c>
      <c r="Y29" s="43" t="s">
        <v>132</v>
      </c>
      <c r="Z29" s="43" t="s">
        <v>133</v>
      </c>
      <c r="AA29" s="43"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45">
        <f>H8</f>
        <v>16.053928147600445</v>
      </c>
      <c r="W30" s="45">
        <f>I8</f>
        <v>18.83660714285714</v>
      </c>
      <c r="X30" s="45">
        <f>K8</f>
        <v>20.720267857142854</v>
      </c>
      <c r="Y30" s="45">
        <f>M8</f>
        <v>22.79229464285714</v>
      </c>
      <c r="Z30" s="45">
        <f>N8</f>
        <v>25.071524107142857</v>
      </c>
      <c r="AA30" s="45">
        <f>O8</f>
        <v>27.578676517857144</v>
      </c>
    </row>
    <row r="31" spans="1:27" ht="15" thickBot="1" x14ac:dyDescent="0.25">
      <c r="A31" s="276"/>
      <c r="B31" s="64" t="s">
        <v>141</v>
      </c>
      <c r="C31" s="65" t="s">
        <v>142</v>
      </c>
      <c r="D31" s="69" t="s">
        <v>143</v>
      </c>
      <c r="E31" s="67" t="s">
        <v>141</v>
      </c>
      <c r="F31" s="67" t="s">
        <v>142</v>
      </c>
      <c r="G31" s="67" t="s">
        <v>143</v>
      </c>
      <c r="H31" s="64" t="s">
        <v>141</v>
      </c>
      <c r="I31" s="65" t="s">
        <v>142</v>
      </c>
      <c r="J31" s="69" t="s">
        <v>143</v>
      </c>
      <c r="K31" s="64" t="s">
        <v>141</v>
      </c>
      <c r="L31" s="65" t="s">
        <v>142</v>
      </c>
      <c r="M31" s="69" t="s">
        <v>143</v>
      </c>
      <c r="N31" s="64" t="s">
        <v>141</v>
      </c>
      <c r="O31" s="65" t="s">
        <v>142</v>
      </c>
      <c r="P31" s="69" t="s">
        <v>143</v>
      </c>
      <c r="Q31" s="64" t="s">
        <v>141</v>
      </c>
      <c r="R31" s="65" t="s">
        <v>142</v>
      </c>
      <c r="S31" s="69" t="s">
        <v>143</v>
      </c>
      <c r="U31" s="1">
        <v>1</v>
      </c>
      <c r="V31" s="45">
        <f t="shared" ref="V31:V50" si="14">V30*1.025</f>
        <v>16.455276351290454</v>
      </c>
      <c r="W31" s="45">
        <f t="shared" ref="W31:W50" si="15">W30*1.025</f>
        <v>19.307522321428568</v>
      </c>
      <c r="X31" s="45">
        <f t="shared" ref="X31:X50" si="16">X30*1.025</f>
        <v>21.238274553571422</v>
      </c>
      <c r="Y31" s="45">
        <f t="shared" ref="Y31:Y50" si="17">Y30*1.025</f>
        <v>23.362102008928566</v>
      </c>
      <c r="Z31" s="45">
        <f t="shared" ref="Z31:Z50" si="18">Z30*1.025</f>
        <v>25.698312209821427</v>
      </c>
      <c r="AA31" s="45">
        <f t="shared" ref="AA31:AA50" si="19">AA30*1.025</f>
        <v>28.268143430803569</v>
      </c>
    </row>
    <row r="32" spans="1:27" x14ac:dyDescent="0.2">
      <c r="A32" s="71" t="s">
        <v>144</v>
      </c>
      <c r="B32" s="72">
        <f>F8</f>
        <v>16.053928147600445</v>
      </c>
      <c r="C32" s="72">
        <f>MEDIAN(B32,D32)</f>
        <v>16.67112643208749</v>
      </c>
      <c r="D32" s="74">
        <f>B32*((1.025)^3)</f>
        <v>17.288324716574532</v>
      </c>
      <c r="E32" s="72">
        <f>I8</f>
        <v>18.83660714285714</v>
      </c>
      <c r="F32" s="72">
        <f>MEDIAN(E32,G32)</f>
        <v>19.560786390904013</v>
      </c>
      <c r="G32" s="72">
        <f>E32*((1.025)^3)</f>
        <v>20.284965638950887</v>
      </c>
      <c r="H32" s="73">
        <f>K8</f>
        <v>20.720267857142854</v>
      </c>
      <c r="I32" s="72">
        <f>MEDIAN(H32,J32)</f>
        <v>21.516865029994413</v>
      </c>
      <c r="J32" s="74">
        <f>H32*((1.025)^3)</f>
        <v>22.313462202845976</v>
      </c>
      <c r="K32" s="73">
        <f>M8</f>
        <v>22.79229464285714</v>
      </c>
      <c r="L32" s="72">
        <f>MEDIAN(K32,M32)</f>
        <v>23.66855153299386</v>
      </c>
      <c r="M32" s="74">
        <f>K32*((1.025)^3)</f>
        <v>24.544808423130576</v>
      </c>
      <c r="N32" s="73">
        <f>N8</f>
        <v>25.071524107142857</v>
      </c>
      <c r="O32" s="72">
        <f>MEDIAN(N32,P32)</f>
        <v>26.035406686293246</v>
      </c>
      <c r="P32" s="74">
        <f>N32*((1.025)^3)</f>
        <v>26.999289265443636</v>
      </c>
      <c r="Q32" s="73">
        <f>O8</f>
        <v>27.578676517857144</v>
      </c>
      <c r="R32" s="72">
        <f>MEDIAN(Q32,S32)</f>
        <v>28.638947354922571</v>
      </c>
      <c r="S32" s="74">
        <f>Q32*((1.025)^3)</f>
        <v>29.699218191987999</v>
      </c>
      <c r="U32" s="1">
        <v>2</v>
      </c>
      <c r="V32" s="45">
        <f t="shared" si="14"/>
        <v>16.866658260072715</v>
      </c>
      <c r="W32" s="45">
        <f t="shared" si="15"/>
        <v>19.790210379464281</v>
      </c>
      <c r="X32" s="45">
        <f t="shared" si="16"/>
        <v>21.769231417410705</v>
      </c>
      <c r="Y32" s="45">
        <f t="shared" si="17"/>
        <v>23.946154559151779</v>
      </c>
      <c r="Z32" s="45">
        <f t="shared" si="18"/>
        <v>26.340770015066962</v>
      </c>
      <c r="AA32" s="45">
        <f t="shared" si="19"/>
        <v>28.974847016573655</v>
      </c>
    </row>
    <row r="33" spans="1:27" x14ac:dyDescent="0.2">
      <c r="A33" s="75" t="s">
        <v>145</v>
      </c>
      <c r="B33" s="72">
        <f>B32*((1.025)^4)</f>
        <v>17.720532834488896</v>
      </c>
      <c r="C33" s="72">
        <f t="shared" ref="C33:C37" si="20">MEDIAN(B33,D33)</f>
        <v>18.169083821861896</v>
      </c>
      <c r="D33" s="74">
        <f>B32*((1.025)^6)</f>
        <v>18.617634809234893</v>
      </c>
      <c r="E33" s="72">
        <f>E32*((1.025)^4)</f>
        <v>20.792089779924659</v>
      </c>
      <c r="F33" s="72">
        <f t="shared" ref="F33:F37" si="21">MEDIAN(E33,G33)</f>
        <v>21.318389552478997</v>
      </c>
      <c r="G33" s="72">
        <f>E32*((1.025)^6)</f>
        <v>21.84468932503334</v>
      </c>
      <c r="H33" s="73">
        <f>H32*((1.025)^4)</f>
        <v>22.871298757917124</v>
      </c>
      <c r="I33" s="72">
        <f t="shared" ref="I33:I37" si="22">MEDIAN(H33,J33)</f>
        <v>23.450228507726898</v>
      </c>
      <c r="J33" s="74">
        <f>H32*((1.025)^6)</f>
        <v>24.029158257536675</v>
      </c>
      <c r="K33" s="73">
        <f>K32*((1.025)^4)</f>
        <v>25.158428633708837</v>
      </c>
      <c r="L33" s="72">
        <f t="shared" ref="L33:L37" si="23">MEDIAN(K33,M33)</f>
        <v>25.795251358499591</v>
      </c>
      <c r="M33" s="74">
        <f>K32*((1.025)^6)</f>
        <v>26.432074083290342</v>
      </c>
      <c r="N33" s="73">
        <f>N32*((1.025)^4)</f>
        <v>27.674271497079722</v>
      </c>
      <c r="O33" s="72">
        <f t="shared" ref="O33:O37" si="24">MEDIAN(N33,P33)</f>
        <v>28.37477649434955</v>
      </c>
      <c r="P33" s="74">
        <f>N32*((1.025)^6)</f>
        <v>29.075281491619378</v>
      </c>
      <c r="Q33" s="73">
        <f>Q32*((1.025)^4)</f>
        <v>30.441698646787696</v>
      </c>
      <c r="R33" s="72">
        <f t="shared" ref="R33:R37" si="25">MEDIAN(Q33,S33)</f>
        <v>31.212254143784506</v>
      </c>
      <c r="S33" s="74">
        <f>Q32*((1.025)^6)</f>
        <v>31.982809640781319</v>
      </c>
      <c r="U33" s="1">
        <v>3</v>
      </c>
      <c r="V33" s="45">
        <f t="shared" si="14"/>
        <v>17.288324716574532</v>
      </c>
      <c r="W33" s="45">
        <f t="shared" si="15"/>
        <v>20.284965638950887</v>
      </c>
      <c r="X33" s="45">
        <f t="shared" si="16"/>
        <v>22.313462202845969</v>
      </c>
      <c r="Y33" s="45">
        <f t="shared" si="17"/>
        <v>24.544808423130572</v>
      </c>
      <c r="Z33" s="45">
        <f t="shared" si="18"/>
        <v>26.999289265443633</v>
      </c>
      <c r="AA33" s="45">
        <f t="shared" si="19"/>
        <v>29.699218191987995</v>
      </c>
    </row>
    <row r="34" spans="1:27" x14ac:dyDescent="0.2">
      <c r="A34" s="75" t="s">
        <v>146</v>
      </c>
      <c r="B34" s="72">
        <f>B32*((1.025)^7)</f>
        <v>19.083075679465765</v>
      </c>
      <c r="C34" s="72">
        <f t="shared" si="20"/>
        <v>19.566116032602238</v>
      </c>
      <c r="D34" s="74">
        <f>B32*((1.025)^9)</f>
        <v>20.049156385738716</v>
      </c>
      <c r="E34" s="72">
        <f>E32*((1.025)^7)</f>
        <v>22.390806558159174</v>
      </c>
      <c r="F34" s="72">
        <f t="shared" si="21"/>
        <v>22.957573849162575</v>
      </c>
      <c r="G34" s="72">
        <f>E32*((1.025)^9)</f>
        <v>23.524341140165976</v>
      </c>
      <c r="H34" s="73">
        <f>H32*((1.025)^7)</f>
        <v>24.629887213975092</v>
      </c>
      <c r="I34" s="72">
        <f t="shared" si="22"/>
        <v>25.253331234078836</v>
      </c>
      <c r="J34" s="74">
        <f>H32*((1.025)^9)</f>
        <v>25.876775254182576</v>
      </c>
      <c r="K34" s="73">
        <f>K32*((1.025)^7)</f>
        <v>27.0928759353726</v>
      </c>
      <c r="L34" s="72">
        <f t="shared" si="23"/>
        <v>27.778664357486718</v>
      </c>
      <c r="M34" s="74">
        <f>K32*((1.025)^9)</f>
        <v>28.464452779600833</v>
      </c>
      <c r="N34" s="73">
        <f>N32*((1.025)^7)</f>
        <v>29.802163528909865</v>
      </c>
      <c r="O34" s="72">
        <f t="shared" si="24"/>
        <v>30.556530793235392</v>
      </c>
      <c r="P34" s="74">
        <f>N32*((1.025)^9)</f>
        <v>31.310898057560919</v>
      </c>
      <c r="Q34" s="73">
        <f>Q32*((1.025)^7)</f>
        <v>32.78237988180085</v>
      </c>
      <c r="R34" s="72">
        <f t="shared" si="25"/>
        <v>33.61218387255893</v>
      </c>
      <c r="S34" s="74">
        <f>Q32*((1.025)^9)</f>
        <v>34.44198786331701</v>
      </c>
      <c r="U34" s="1">
        <v>4</v>
      </c>
      <c r="V34" s="45">
        <f t="shared" si="14"/>
        <v>17.720532834488893</v>
      </c>
      <c r="W34" s="45">
        <f t="shared" si="15"/>
        <v>20.792089779924655</v>
      </c>
      <c r="X34" s="45">
        <f t="shared" si="16"/>
        <v>22.871298757917117</v>
      </c>
      <c r="Y34" s="45">
        <f t="shared" si="17"/>
        <v>25.158428633708834</v>
      </c>
      <c r="Z34" s="45">
        <f t="shared" si="18"/>
        <v>27.674271497079722</v>
      </c>
      <c r="AA34" s="45">
        <f t="shared" si="19"/>
        <v>30.441698646787692</v>
      </c>
    </row>
    <row r="35" spans="1:27" x14ac:dyDescent="0.2">
      <c r="A35" s="75" t="s">
        <v>147</v>
      </c>
      <c r="B35" s="72">
        <f>B32*((1.025)^10)</f>
        <v>20.550385295382181</v>
      </c>
      <c r="C35" s="72">
        <f t="shared" si="20"/>
        <v>21.07056692317154</v>
      </c>
      <c r="D35" s="74">
        <f>B32*((1.025)^12)</f>
        <v>21.590748550960903</v>
      </c>
      <c r="E35" s="72">
        <f>E32*((1.025)^10)</f>
        <v>24.112449668670127</v>
      </c>
      <c r="F35" s="72">
        <f t="shared" si="21"/>
        <v>24.722796050908336</v>
      </c>
      <c r="G35" s="72">
        <f>E32*((1.025)^12)</f>
        <v>25.333142433146548</v>
      </c>
      <c r="H35" s="73">
        <f>H32*((1.025)^10)</f>
        <v>26.52369463553714</v>
      </c>
      <c r="I35" s="72">
        <f t="shared" si="22"/>
        <v>27.195075655999172</v>
      </c>
      <c r="J35" s="74">
        <f>H32*((1.025)^12)</f>
        <v>27.866456676461205</v>
      </c>
      <c r="K35" s="73">
        <f>K32*((1.025)^10)</f>
        <v>29.176064099090855</v>
      </c>
      <c r="L35" s="72">
        <f t="shared" si="23"/>
        <v>29.914583221599088</v>
      </c>
      <c r="M35" s="74">
        <f>K32*((1.025)^12)</f>
        <v>30.653102344107324</v>
      </c>
      <c r="N35" s="73">
        <f>N32*((1.025)^10)</f>
        <v>32.093670508999942</v>
      </c>
      <c r="O35" s="72">
        <f t="shared" si="24"/>
        <v>32.906041543759002</v>
      </c>
      <c r="P35" s="74">
        <f>N32*((1.025)^12)</f>
        <v>33.718412578518063</v>
      </c>
      <c r="Q35" s="73">
        <f>Q32*((1.025)^10)</f>
        <v>35.303037559899941</v>
      </c>
      <c r="R35" s="72">
        <f t="shared" si="25"/>
        <v>36.196645698134901</v>
      </c>
      <c r="S35" s="74">
        <f>Q32*((1.025)^12)</f>
        <v>37.090253836369868</v>
      </c>
      <c r="U35" s="1">
        <v>5</v>
      </c>
      <c r="V35" s="45">
        <f t="shared" si="14"/>
        <v>18.163546155351113</v>
      </c>
      <c r="W35" s="45">
        <f t="shared" si="15"/>
        <v>21.311892024422772</v>
      </c>
      <c r="X35" s="45">
        <f t="shared" si="16"/>
        <v>23.443081226865043</v>
      </c>
      <c r="Y35" s="45">
        <f t="shared" si="17"/>
        <v>25.787389349551553</v>
      </c>
      <c r="Z35" s="45">
        <f t="shared" si="18"/>
        <v>28.366128284506711</v>
      </c>
      <c r="AA35" s="45">
        <f t="shared" si="19"/>
        <v>31.202741112957384</v>
      </c>
    </row>
    <row r="36" spans="1:27" x14ac:dyDescent="0.2">
      <c r="A36" s="75" t="s">
        <v>148</v>
      </c>
      <c r="B36" s="72">
        <f>B32*((1.025)^13)</f>
        <v>22.130517264734927</v>
      </c>
      <c r="C36" s="72">
        <f t="shared" si="20"/>
        <v>22.690695982998527</v>
      </c>
      <c r="D36" s="72">
        <f>B32*((1.025)^15)</f>
        <v>23.250874701262131</v>
      </c>
      <c r="E36" s="73">
        <f>E32*((1.025)^13)</f>
        <v>25.966470993975211</v>
      </c>
      <c r="F36" s="72">
        <f t="shared" si="21"/>
        <v>26.623747291010211</v>
      </c>
      <c r="G36" s="74">
        <f>E32*((1.025)^15)</f>
        <v>27.281023588045208</v>
      </c>
      <c r="H36" s="72">
        <f>H32*((1.025)^13)</f>
        <v>28.563118093372733</v>
      </c>
      <c r="I36" s="72">
        <f t="shared" si="22"/>
        <v>29.286122020111229</v>
      </c>
      <c r="J36" s="74">
        <f>H32*((1.025)^15)</f>
        <v>30.009125946849728</v>
      </c>
      <c r="K36" s="73">
        <f>K32*((1.025)^13)</f>
        <v>31.419429902710007</v>
      </c>
      <c r="L36" s="72">
        <f t="shared" si="23"/>
        <v>32.21473422212236</v>
      </c>
      <c r="M36" s="74">
        <f>K32*((1.025)^15)</f>
        <v>33.010038541534705</v>
      </c>
      <c r="N36" s="73">
        <f>N32*((1.025)^13)</f>
        <v>34.561372892981012</v>
      </c>
      <c r="O36" s="72">
        <f t="shared" si="24"/>
        <v>35.436207644334594</v>
      </c>
      <c r="P36" s="74">
        <f>N32*((1.025)^15)</f>
        <v>36.311042395688176</v>
      </c>
      <c r="Q36" s="73">
        <f>Q32*((1.025)^13)</f>
        <v>38.017510182279111</v>
      </c>
      <c r="R36" s="72">
        <f t="shared" si="25"/>
        <v>38.979828408768057</v>
      </c>
      <c r="S36" s="74">
        <f>Q32*((1.025)^15)</f>
        <v>39.942146635256996</v>
      </c>
      <c r="T36" s="45"/>
      <c r="U36" s="1">
        <v>6</v>
      </c>
      <c r="V36" s="45">
        <f t="shared" si="14"/>
        <v>18.61763480923489</v>
      </c>
      <c r="W36" s="45">
        <f t="shared" si="15"/>
        <v>21.84468932503334</v>
      </c>
      <c r="X36" s="45">
        <f t="shared" si="16"/>
        <v>24.029158257536668</v>
      </c>
      <c r="Y36" s="45">
        <f t="shared" si="17"/>
        <v>26.432074083290338</v>
      </c>
      <c r="Z36" s="45">
        <f t="shared" si="18"/>
        <v>29.075281491619375</v>
      </c>
      <c r="AA36" s="45">
        <f t="shared" si="19"/>
        <v>31.982809640781316</v>
      </c>
    </row>
    <row r="37" spans="1:27" x14ac:dyDescent="0.2">
      <c r="A37" s="75" t="s">
        <v>149</v>
      </c>
      <c r="B37" s="72">
        <f>B32*((1.025)^16)</f>
        <v>23.832146568793682</v>
      </c>
      <c r="C37" s="72">
        <f t="shared" si="20"/>
        <v>25.069188581346253</v>
      </c>
      <c r="D37" s="72">
        <f>B32*((1.025)^20)</f>
        <v>26.306230593898825</v>
      </c>
      <c r="E37" s="73">
        <f>E32*((1.025)^16)</f>
        <v>27.963049177746335</v>
      </c>
      <c r="F37" s="72">
        <f t="shared" si="21"/>
        <v>29.41451166066177</v>
      </c>
      <c r="G37" s="74">
        <f>E32*((1.025)^20)</f>
        <v>30.865974143577205</v>
      </c>
      <c r="H37" s="73">
        <f>H32*((1.025)^16)</f>
        <v>30.759354095520969</v>
      </c>
      <c r="I37" s="72">
        <f t="shared" si="22"/>
        <v>32.355962826727946</v>
      </c>
      <c r="J37" s="74">
        <f>H32*((1.025)^20)</f>
        <v>33.952571557934924</v>
      </c>
      <c r="K37" s="72">
        <f>K32*((1.025)^16)</f>
        <v>33.835289505073064</v>
      </c>
      <c r="L37" s="72">
        <f t="shared" si="23"/>
        <v>35.591559109400741</v>
      </c>
      <c r="M37" s="74">
        <f>K32*((1.025)^20)</f>
        <v>37.347828713728418</v>
      </c>
      <c r="N37" s="72">
        <f>N32*((1.025)^16)</f>
        <v>37.218818455580376</v>
      </c>
      <c r="O37" s="72">
        <f t="shared" si="24"/>
        <v>39.150715020340819</v>
      </c>
      <c r="P37" s="72">
        <f>N32*((1.025)^20)</f>
        <v>41.082611585101262</v>
      </c>
      <c r="Q37" s="73">
        <f>Q32*((1.025)^16)</f>
        <v>40.940700301138413</v>
      </c>
      <c r="R37" s="72">
        <f t="shared" si="25"/>
        <v>43.065786522374907</v>
      </c>
      <c r="S37" s="74">
        <f>Q32*((1.025)^20)</f>
        <v>45.190872743611394</v>
      </c>
      <c r="U37" s="1">
        <v>7</v>
      </c>
      <c r="V37" s="45">
        <f t="shared" si="14"/>
        <v>19.083075679465761</v>
      </c>
      <c r="W37" s="45">
        <f t="shared" si="15"/>
        <v>22.39080655815917</v>
      </c>
      <c r="X37" s="45">
        <f t="shared" si="16"/>
        <v>24.629887213975081</v>
      </c>
      <c r="Y37" s="45">
        <f t="shared" si="17"/>
        <v>27.092875935372593</v>
      </c>
      <c r="Z37" s="45">
        <f t="shared" si="18"/>
        <v>29.802163528909858</v>
      </c>
      <c r="AA37" s="45">
        <f t="shared" si="19"/>
        <v>32.782379881800843</v>
      </c>
    </row>
    <row r="38" spans="1:27" ht="15" x14ac:dyDescent="0.25">
      <c r="A38" s="43"/>
      <c r="B38" s="35"/>
      <c r="C38" s="45"/>
      <c r="D38" s="35"/>
      <c r="E38" s="80"/>
      <c r="F38" s="80"/>
      <c r="G38" s="80"/>
      <c r="H38" s="80"/>
      <c r="I38" s="72"/>
      <c r="J38" s="72"/>
      <c r="M38" s="39"/>
      <c r="P38" s="1"/>
      <c r="U38" s="1">
        <v>8</v>
      </c>
      <c r="V38" s="45">
        <f t="shared" si="14"/>
        <v>19.560152571452402</v>
      </c>
      <c r="W38" s="45">
        <f t="shared" si="15"/>
        <v>22.950576722113148</v>
      </c>
      <c r="X38" s="45">
        <f t="shared" si="16"/>
        <v>25.245634394324455</v>
      </c>
      <c r="Y38" s="45">
        <f t="shared" si="17"/>
        <v>27.770197833756907</v>
      </c>
      <c r="Z38" s="45">
        <f t="shared" si="18"/>
        <v>30.547217617132603</v>
      </c>
      <c r="AA38" s="45">
        <f t="shared" si="19"/>
        <v>33.601939378845863</v>
      </c>
    </row>
    <row r="39" spans="1:27" x14ac:dyDescent="0.2">
      <c r="O39" s="39"/>
      <c r="P39" s="1"/>
      <c r="U39" s="1">
        <v>9</v>
      </c>
      <c r="V39" s="45">
        <f t="shared" si="14"/>
        <v>20.049156385738712</v>
      </c>
      <c r="W39" s="45">
        <f t="shared" si="15"/>
        <v>23.524341140165973</v>
      </c>
      <c r="X39" s="45">
        <f t="shared" si="16"/>
        <v>25.876775254182565</v>
      </c>
      <c r="Y39" s="45">
        <f t="shared" si="17"/>
        <v>28.464452779600826</v>
      </c>
      <c r="Z39" s="45">
        <f t="shared" si="18"/>
        <v>31.310898057560916</v>
      </c>
      <c r="AA39" s="45">
        <f t="shared" si="19"/>
        <v>34.44198786331701</v>
      </c>
    </row>
    <row r="40" spans="1:27" x14ac:dyDescent="0.2">
      <c r="U40" s="1">
        <v>10</v>
      </c>
      <c r="V40" s="45">
        <f t="shared" si="14"/>
        <v>20.550385295382178</v>
      </c>
      <c r="W40" s="45">
        <f t="shared" si="15"/>
        <v>24.11244966867012</v>
      </c>
      <c r="X40" s="45">
        <f t="shared" si="16"/>
        <v>26.523694635537126</v>
      </c>
      <c r="Y40" s="45">
        <f t="shared" si="17"/>
        <v>29.176064099090844</v>
      </c>
      <c r="Z40" s="45">
        <f t="shared" si="18"/>
        <v>32.093670508999935</v>
      </c>
      <c r="AA40" s="45">
        <f t="shared" si="19"/>
        <v>35.303037559899934</v>
      </c>
    </row>
    <row r="41" spans="1:27" x14ac:dyDescent="0.2">
      <c r="U41" s="1">
        <v>11</v>
      </c>
      <c r="V41" s="45">
        <f t="shared" si="14"/>
        <v>21.06414492776673</v>
      </c>
      <c r="W41" s="45">
        <f t="shared" si="15"/>
        <v>24.715260910386871</v>
      </c>
      <c r="X41" s="45">
        <f t="shared" si="16"/>
        <v>27.18678700142555</v>
      </c>
      <c r="Y41" s="45">
        <f t="shared" si="17"/>
        <v>29.905465701568112</v>
      </c>
      <c r="Z41" s="45">
        <f t="shared" si="18"/>
        <v>32.896012271724928</v>
      </c>
      <c r="AA41" s="45">
        <f t="shared" si="19"/>
        <v>36.185613498897432</v>
      </c>
    </row>
    <row r="42" spans="1:27" x14ac:dyDescent="0.2">
      <c r="D42" s="82"/>
      <c r="U42" s="1">
        <v>12</v>
      </c>
      <c r="V42" s="45">
        <f t="shared" si="14"/>
        <v>21.590748550960896</v>
      </c>
      <c r="W42" s="45">
        <f t="shared" si="15"/>
        <v>25.333142433146541</v>
      </c>
      <c r="X42" s="45">
        <f t="shared" si="16"/>
        <v>27.866456676461187</v>
      </c>
      <c r="Y42" s="45">
        <f t="shared" si="17"/>
        <v>30.65310234410731</v>
      </c>
      <c r="Z42" s="45">
        <f t="shared" si="18"/>
        <v>33.718412578518048</v>
      </c>
      <c r="AA42" s="45">
        <f t="shared" si="19"/>
        <v>37.090253836369861</v>
      </c>
    </row>
    <row r="43" spans="1:27" x14ac:dyDescent="0.2">
      <c r="D43" s="82"/>
      <c r="G43" s="34"/>
      <c r="U43" s="1">
        <v>13</v>
      </c>
      <c r="V43" s="45">
        <f t="shared" si="14"/>
        <v>22.130517264734916</v>
      </c>
      <c r="W43" s="45">
        <f t="shared" si="15"/>
        <v>25.966470993975204</v>
      </c>
      <c r="X43" s="45">
        <f t="shared" si="16"/>
        <v>28.563118093372715</v>
      </c>
      <c r="Y43" s="45">
        <f t="shared" si="17"/>
        <v>31.419429902709989</v>
      </c>
      <c r="Z43" s="45">
        <f t="shared" si="18"/>
        <v>34.561372892980998</v>
      </c>
      <c r="AA43" s="45">
        <f t="shared" si="19"/>
        <v>38.017510182279104</v>
      </c>
    </row>
    <row r="44" spans="1:27" x14ac:dyDescent="0.2">
      <c r="D44" s="82"/>
      <c r="U44" s="1">
        <v>14</v>
      </c>
      <c r="V44" s="45">
        <f t="shared" si="14"/>
        <v>22.683780196353286</v>
      </c>
      <c r="W44" s="45">
        <f t="shared" si="15"/>
        <v>26.615632768824582</v>
      </c>
      <c r="X44" s="45">
        <f t="shared" si="16"/>
        <v>29.277196045707029</v>
      </c>
      <c r="Y44" s="45">
        <f t="shared" si="17"/>
        <v>32.204915650277734</v>
      </c>
      <c r="Z44" s="45">
        <f t="shared" si="18"/>
        <v>35.425407215305519</v>
      </c>
      <c r="AA44" s="45">
        <f t="shared" si="19"/>
        <v>38.967947936836076</v>
      </c>
    </row>
    <row r="45" spans="1:27" x14ac:dyDescent="0.2">
      <c r="U45" s="1">
        <v>15</v>
      </c>
      <c r="V45" s="45">
        <f t="shared" si="14"/>
        <v>23.250874701262116</v>
      </c>
      <c r="W45" s="45">
        <f t="shared" si="15"/>
        <v>27.281023588045194</v>
      </c>
      <c r="X45" s="45">
        <f t="shared" si="16"/>
        <v>30.009125946849704</v>
      </c>
      <c r="Y45" s="45">
        <f t="shared" si="17"/>
        <v>33.010038541534676</v>
      </c>
      <c r="Z45" s="45">
        <f t="shared" si="18"/>
        <v>36.311042395688155</v>
      </c>
      <c r="AA45" s="45">
        <f t="shared" si="19"/>
        <v>39.942146635256975</v>
      </c>
    </row>
    <row r="46" spans="1:27" x14ac:dyDescent="0.2">
      <c r="U46" s="1">
        <v>16</v>
      </c>
      <c r="V46" s="45">
        <f t="shared" si="14"/>
        <v>23.832146568793668</v>
      </c>
      <c r="W46" s="45">
        <f t="shared" si="15"/>
        <v>27.963049177746321</v>
      </c>
      <c r="X46" s="45">
        <f t="shared" si="16"/>
        <v>30.759354095520944</v>
      </c>
      <c r="Y46" s="45">
        <f t="shared" si="17"/>
        <v>33.835289505073042</v>
      </c>
      <c r="Z46" s="45">
        <f t="shared" si="18"/>
        <v>37.218818455580355</v>
      </c>
      <c r="AA46" s="45">
        <f t="shared" si="19"/>
        <v>40.940700301138399</v>
      </c>
    </row>
    <row r="47" spans="1:27" x14ac:dyDescent="0.2">
      <c r="U47" s="1">
        <v>17</v>
      </c>
      <c r="V47" s="45">
        <f t="shared" si="14"/>
        <v>24.427950233013508</v>
      </c>
      <c r="W47" s="45">
        <f t="shared" si="15"/>
        <v>28.662125407189976</v>
      </c>
      <c r="X47" s="45">
        <f t="shared" si="16"/>
        <v>31.528337947908966</v>
      </c>
      <c r="Y47" s="45">
        <f t="shared" si="17"/>
        <v>34.681171742699867</v>
      </c>
      <c r="Z47" s="45">
        <f t="shared" si="18"/>
        <v>38.149288916969859</v>
      </c>
      <c r="AA47" s="45">
        <f t="shared" si="19"/>
        <v>41.964217808666852</v>
      </c>
    </row>
    <row r="48" spans="1:27" x14ac:dyDescent="0.2">
      <c r="U48" s="1">
        <v>18</v>
      </c>
      <c r="V48" s="45">
        <f t="shared" si="14"/>
        <v>25.038648988838844</v>
      </c>
      <c r="W48" s="45">
        <f t="shared" si="15"/>
        <v>29.378678542369723</v>
      </c>
      <c r="X48" s="45">
        <f t="shared" si="16"/>
        <v>32.316546396606689</v>
      </c>
      <c r="Y48" s="45">
        <f t="shared" si="17"/>
        <v>35.548201036267358</v>
      </c>
      <c r="Z48" s="45">
        <f t="shared" si="18"/>
        <v>39.103021139894103</v>
      </c>
      <c r="AA48" s="45">
        <f t="shared" si="19"/>
        <v>43.01332325388352</v>
      </c>
    </row>
    <row r="49" spans="21:27" x14ac:dyDescent="0.2">
      <c r="U49" s="1">
        <v>19</v>
      </c>
      <c r="V49" s="45">
        <f t="shared" si="14"/>
        <v>25.664615213559813</v>
      </c>
      <c r="W49" s="45">
        <f t="shared" si="15"/>
        <v>30.113145505928962</v>
      </c>
      <c r="X49" s="45">
        <f t="shared" si="16"/>
        <v>33.124460056521855</v>
      </c>
      <c r="Y49" s="45">
        <f t="shared" si="17"/>
        <v>36.436906062174039</v>
      </c>
      <c r="Z49" s="45">
        <f t="shared" si="18"/>
        <v>40.080596668391451</v>
      </c>
      <c r="AA49" s="45">
        <f t="shared" si="19"/>
        <v>44.088656335230603</v>
      </c>
    </row>
    <row r="50" spans="21:27" x14ac:dyDescent="0.2">
      <c r="U50" s="1">
        <v>20</v>
      </c>
      <c r="V50" s="45">
        <f t="shared" si="14"/>
        <v>26.306230593898807</v>
      </c>
      <c r="W50" s="45">
        <f t="shared" si="15"/>
        <v>30.865974143577183</v>
      </c>
      <c r="X50" s="45">
        <f t="shared" si="16"/>
        <v>33.952571557934895</v>
      </c>
      <c r="Y50" s="45">
        <f t="shared" si="17"/>
        <v>37.34782871372839</v>
      </c>
      <c r="Z50" s="45">
        <f t="shared" si="18"/>
        <v>41.082611585101233</v>
      </c>
      <c r="AA50" s="45">
        <f t="shared" si="19"/>
        <v>45.190872743611365</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249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383</v>
      </c>
    </row>
    <row r="3" spans="1:26" x14ac:dyDescent="0.25">
      <c r="A3" s="12">
        <v>930</v>
      </c>
    </row>
    <row r="4" spans="1:26" ht="20.25" x14ac:dyDescent="0.3">
      <c r="A4" s="170"/>
      <c r="B4" s="170"/>
      <c r="C4" s="170"/>
      <c r="D4" s="170"/>
      <c r="E4" s="170"/>
      <c r="F4" s="170"/>
      <c r="G4" s="170"/>
      <c r="H4" s="170"/>
      <c r="I4" s="170"/>
      <c r="J4" s="170"/>
      <c r="K4" s="170"/>
      <c r="L4" s="170"/>
      <c r="M4" s="170"/>
      <c r="N4" s="170"/>
      <c r="O4" s="170"/>
    </row>
    <row r="5" spans="1:26" ht="15.75" x14ac:dyDescent="0.25">
      <c r="A5" s="314" t="s">
        <v>154</v>
      </c>
      <c r="B5" s="314"/>
      <c r="C5" s="314"/>
      <c r="E5" s="314" t="s">
        <v>155</v>
      </c>
      <c r="F5" s="314"/>
      <c r="G5" s="314"/>
      <c r="I5" s="314" t="s">
        <v>156</v>
      </c>
      <c r="J5" s="314"/>
      <c r="K5" s="314"/>
      <c r="M5" s="33" t="s">
        <v>157</v>
      </c>
      <c r="N5" s="33"/>
      <c r="O5" s="33"/>
    </row>
    <row r="6" spans="1:26" x14ac:dyDescent="0.25">
      <c r="A6" s="16" t="s">
        <v>158</v>
      </c>
      <c r="B6" s="16" t="s">
        <v>159</v>
      </c>
      <c r="C6" s="16" t="s">
        <v>160</v>
      </c>
      <c r="E6" s="16" t="s">
        <v>158</v>
      </c>
      <c r="F6" s="16" t="s">
        <v>159</v>
      </c>
      <c r="G6" s="16" t="s">
        <v>160</v>
      </c>
      <c r="I6" s="25" t="s">
        <v>161</v>
      </c>
      <c r="J6" s="16" t="s">
        <v>159</v>
      </c>
      <c r="K6" s="16" t="s">
        <v>160</v>
      </c>
      <c r="M6" s="25" t="s">
        <v>162</v>
      </c>
      <c r="N6" s="16" t="s">
        <v>159</v>
      </c>
      <c r="O6" s="16" t="s">
        <v>160</v>
      </c>
    </row>
    <row r="7" spans="1:26" x14ac:dyDescent="0.25">
      <c r="A7" s="17" t="s">
        <v>163</v>
      </c>
      <c r="B7" s="18">
        <v>4</v>
      </c>
      <c r="C7" s="19">
        <f>B7/A3</f>
        <v>4.3010752688172043E-3</v>
      </c>
      <c r="E7" s="23" t="s">
        <v>164</v>
      </c>
      <c r="F7" s="18"/>
      <c r="G7" s="19">
        <v>4.2000000000000003E-2</v>
      </c>
      <c r="I7" s="23" t="s">
        <v>165</v>
      </c>
      <c r="J7" s="18">
        <v>777</v>
      </c>
      <c r="K7" s="19">
        <f>J7/A3</f>
        <v>0.8354838709677419</v>
      </c>
      <c r="M7" s="23" t="s">
        <v>166</v>
      </c>
      <c r="N7" s="18">
        <v>85</v>
      </c>
      <c r="O7" s="19">
        <f>N7/A3</f>
        <v>9.1397849462365593E-2</v>
      </c>
    </row>
    <row r="8" spans="1:26" x14ac:dyDescent="0.25">
      <c r="A8" s="20" t="s">
        <v>167</v>
      </c>
      <c r="B8" s="21">
        <v>49</v>
      </c>
      <c r="C8" s="22">
        <f>B8/A3</f>
        <v>5.2688172043010753E-2</v>
      </c>
      <c r="E8" s="24" t="s">
        <v>168</v>
      </c>
      <c r="F8" s="21"/>
      <c r="G8" s="19">
        <v>0.25700000000000001</v>
      </c>
      <c r="I8" s="24" t="s">
        <v>169</v>
      </c>
      <c r="J8" s="21">
        <v>77</v>
      </c>
      <c r="K8" s="19">
        <f>J8/A3</f>
        <v>8.2795698924731181E-2</v>
      </c>
      <c r="M8" s="24" t="s">
        <v>170</v>
      </c>
      <c r="N8" s="21">
        <v>845</v>
      </c>
      <c r="O8" s="22">
        <f>N8/A3</f>
        <v>0.90860215053763438</v>
      </c>
    </row>
    <row r="9" spans="1:26" x14ac:dyDescent="0.25">
      <c r="A9" s="20" t="s">
        <v>171</v>
      </c>
      <c r="B9" s="21">
        <v>146</v>
      </c>
      <c r="C9" s="22">
        <f>B9/A3</f>
        <v>0.15698924731182795</v>
      </c>
      <c r="E9" s="24" t="s">
        <v>172</v>
      </c>
      <c r="F9" s="21"/>
      <c r="G9" s="19">
        <v>0.24399999999999999</v>
      </c>
      <c r="I9" s="24" t="s">
        <v>173</v>
      </c>
      <c r="J9" s="21">
        <v>43</v>
      </c>
      <c r="K9" s="19">
        <f>J9/A3</f>
        <v>4.6236559139784944E-2</v>
      </c>
    </row>
    <row r="10" spans="1:26" x14ac:dyDescent="0.25">
      <c r="A10" s="20" t="s">
        <v>174</v>
      </c>
      <c r="B10" s="21">
        <v>234</v>
      </c>
      <c r="C10" s="22">
        <f>B10/A3</f>
        <v>0.25161290322580643</v>
      </c>
      <c r="E10" s="24" t="s">
        <v>175</v>
      </c>
      <c r="F10" s="21"/>
      <c r="G10" s="19">
        <v>0.14399999999999999</v>
      </c>
      <c r="I10" s="24" t="s">
        <v>176</v>
      </c>
      <c r="J10" s="21">
        <v>20</v>
      </c>
      <c r="K10" s="19">
        <f>J10/A3</f>
        <v>2.1505376344086023E-2</v>
      </c>
    </row>
    <row r="11" spans="1:26" x14ac:dyDescent="0.25">
      <c r="A11" s="20" t="s">
        <v>177</v>
      </c>
      <c r="B11" s="21">
        <v>166</v>
      </c>
      <c r="C11" s="22">
        <f>B11/A3</f>
        <v>0.17849462365591398</v>
      </c>
      <c r="E11" s="24" t="s">
        <v>178</v>
      </c>
      <c r="F11" s="21"/>
      <c r="G11" s="19">
        <v>0.22800000000000001</v>
      </c>
      <c r="I11" s="24" t="s">
        <v>179</v>
      </c>
      <c r="J11" s="21">
        <v>10</v>
      </c>
      <c r="K11" s="19">
        <f>J11/A3</f>
        <v>1.0752688172043012E-2</v>
      </c>
    </row>
    <row r="12" spans="1:26" x14ac:dyDescent="0.25">
      <c r="A12" s="20" t="s">
        <v>180</v>
      </c>
      <c r="B12" s="21">
        <v>179</v>
      </c>
      <c r="C12" s="22">
        <f>B12/A3</f>
        <v>0.19247311827956989</v>
      </c>
      <c r="E12" s="24" t="s">
        <v>181</v>
      </c>
      <c r="F12" s="21"/>
      <c r="G12" s="19">
        <v>7.0999999999999994E-2</v>
      </c>
      <c r="I12" s="24" t="s">
        <v>182</v>
      </c>
      <c r="J12" s="21">
        <v>3</v>
      </c>
      <c r="K12" s="19">
        <f>J12/A3</f>
        <v>3.2258064516129032E-3</v>
      </c>
    </row>
    <row r="13" spans="1:26" x14ac:dyDescent="0.25">
      <c r="A13" s="20" t="s">
        <v>183</v>
      </c>
      <c r="B13" s="21">
        <v>52</v>
      </c>
      <c r="C13" s="22">
        <f>B13/A3</f>
        <v>5.5913978494623658E-2</v>
      </c>
      <c r="E13" s="24" t="s">
        <v>184</v>
      </c>
      <c r="F13" s="21"/>
      <c r="G13" s="19">
        <v>1.4E-2</v>
      </c>
      <c r="I13" s="24" t="s">
        <v>185</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E16" zoomScaleNormal="100" workbookViewId="0">
      <selection activeCell="D14" sqref="D14"/>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7109375" bestFit="1" customWidth="1"/>
    <col min="16" max="16" width="9.140625" style="10" bestFit="1" customWidth="1"/>
    <col min="17" max="18" width="7.7109375" bestFit="1" customWidth="1"/>
    <col min="19" max="19" width="9.140625" bestFit="1" customWidth="1"/>
    <col min="20" max="20" width="8.7109375" bestFit="1" customWidth="1"/>
    <col min="23"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250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251</v>
      </c>
      <c r="B4" s="318"/>
      <c r="C4" s="318"/>
      <c r="D4" s="318"/>
      <c r="E4" s="318"/>
      <c r="F4" s="318"/>
      <c r="G4" s="318"/>
      <c r="H4" s="318"/>
    </row>
    <row r="5" spans="1:26" ht="36" customHeight="1" x14ac:dyDescent="0.25">
      <c r="A5" s="316" t="s">
        <v>188</v>
      </c>
      <c r="B5" s="317" t="s">
        <v>189</v>
      </c>
      <c r="C5" s="317" t="s">
        <v>190</v>
      </c>
      <c r="D5" s="317" t="s">
        <v>252</v>
      </c>
      <c r="E5" s="317" t="s">
        <v>192</v>
      </c>
      <c r="F5" s="317"/>
      <c r="G5" s="317" t="s">
        <v>193</v>
      </c>
      <c r="H5" s="317"/>
      <c r="P5"/>
      <c r="R5" s="10"/>
    </row>
    <row r="6" spans="1:26" ht="15.75" thickBot="1" x14ac:dyDescent="0.3">
      <c r="A6" s="316"/>
      <c r="B6" s="317"/>
      <c r="C6" s="317"/>
      <c r="D6" s="319"/>
      <c r="E6" s="162" t="s">
        <v>194</v>
      </c>
      <c r="F6" s="162" t="s">
        <v>195</v>
      </c>
      <c r="G6" s="162" t="s">
        <v>194</v>
      </c>
      <c r="H6" s="162" t="s">
        <v>195</v>
      </c>
      <c r="P6"/>
      <c r="R6" s="10"/>
    </row>
    <row r="7" spans="1:26" ht="15.75" thickBot="1" x14ac:dyDescent="0.3">
      <c r="A7" s="194" t="s">
        <v>253</v>
      </c>
      <c r="B7" s="195">
        <v>1</v>
      </c>
      <c r="C7" s="196">
        <f>'1A'!B12</f>
        <v>14.13</v>
      </c>
      <c r="D7" s="197" t="s">
        <v>59</v>
      </c>
      <c r="E7" s="198">
        <f t="shared" ref="E7:E12" si="0">W19-B19</f>
        <v>-55</v>
      </c>
      <c r="F7" s="199">
        <f t="shared" ref="F7:F12" si="1">W29</f>
        <v>-5.5837563451776651E-2</v>
      </c>
      <c r="G7" s="200">
        <f t="shared" ref="G7:G12" si="2">S38-B38</f>
        <v>6.3900000000000006</v>
      </c>
      <c r="H7" s="201">
        <f t="shared" ref="H7:H12" si="3">S48</f>
        <v>0.82558139534883723</v>
      </c>
      <c r="P7"/>
      <c r="R7" s="10"/>
    </row>
    <row r="8" spans="1:26" ht="15.75" thickTop="1" x14ac:dyDescent="0.25">
      <c r="A8" s="177" t="s">
        <v>198</v>
      </c>
      <c r="B8" s="163">
        <v>0.95</v>
      </c>
      <c r="C8" s="184">
        <f>S39</f>
        <v>20.16</v>
      </c>
      <c r="D8" s="186">
        <f>C8-C7</f>
        <v>6.0299999999999994</v>
      </c>
      <c r="E8" s="173">
        <f t="shared" si="0"/>
        <v>40</v>
      </c>
      <c r="F8" s="172">
        <f t="shared" si="1"/>
        <v>0.63492063492063489</v>
      </c>
      <c r="G8" s="174">
        <f t="shared" si="2"/>
        <v>4.2300000000000004</v>
      </c>
      <c r="H8" s="176">
        <f t="shared" si="3"/>
        <v>0.26553672316384186</v>
      </c>
      <c r="P8"/>
      <c r="R8" s="10"/>
    </row>
    <row r="9" spans="1:26" x14ac:dyDescent="0.25">
      <c r="A9" s="177" t="s">
        <v>254</v>
      </c>
      <c r="B9" s="163">
        <v>0.95</v>
      </c>
      <c r="C9" s="184">
        <f t="shared" ref="C9:C12" si="4">S40</f>
        <v>14.99</v>
      </c>
      <c r="D9" s="216">
        <f>C9-C7</f>
        <v>0.85999999999999943</v>
      </c>
      <c r="E9" s="173">
        <f t="shared" si="0"/>
        <v>22</v>
      </c>
      <c r="F9" s="172">
        <f t="shared" si="1"/>
        <v>0.26506024096385544</v>
      </c>
      <c r="G9" s="174">
        <f t="shared" si="2"/>
        <v>0.40000000000000036</v>
      </c>
      <c r="H9" s="176">
        <f t="shared" si="3"/>
        <v>2.741603838245376E-2</v>
      </c>
      <c r="P9"/>
      <c r="R9" s="10"/>
    </row>
    <row r="10" spans="1:26" x14ac:dyDescent="0.25">
      <c r="A10" s="177" t="s">
        <v>197</v>
      </c>
      <c r="B10" s="163">
        <v>0.94</v>
      </c>
      <c r="C10" s="184">
        <f t="shared" si="4"/>
        <v>26.1</v>
      </c>
      <c r="D10" s="186">
        <f>C10-C7</f>
        <v>11.97</v>
      </c>
      <c r="E10" s="173">
        <f t="shared" si="0"/>
        <v>-66</v>
      </c>
      <c r="F10" s="172">
        <f t="shared" si="1"/>
        <v>-1</v>
      </c>
      <c r="G10" s="174">
        <f t="shared" si="2"/>
        <v>2.7100000000000009</v>
      </c>
      <c r="H10" s="176">
        <f t="shared" si="3"/>
        <v>0.11586147926464305</v>
      </c>
      <c r="P10"/>
      <c r="R10" s="10"/>
    </row>
    <row r="11" spans="1:26" x14ac:dyDescent="0.25">
      <c r="A11" s="177" t="s">
        <v>255</v>
      </c>
      <c r="B11" s="163">
        <v>0.92</v>
      </c>
      <c r="C11" s="184">
        <f t="shared" si="4"/>
        <v>18.239999999999998</v>
      </c>
      <c r="D11" s="186">
        <f>C11-C7</f>
        <v>4.1099999999999977</v>
      </c>
      <c r="E11" s="173">
        <f t="shared" si="0"/>
        <v>-253</v>
      </c>
      <c r="F11" s="172">
        <f t="shared" si="1"/>
        <v>-0.16032953105196451</v>
      </c>
      <c r="G11" s="174">
        <f t="shared" si="2"/>
        <v>5.0999999999999979</v>
      </c>
      <c r="H11" s="176">
        <f t="shared" si="3"/>
        <v>0.38812785388127835</v>
      </c>
      <c r="P11"/>
      <c r="R11" s="10"/>
    </row>
    <row r="12" spans="1:26" ht="15.75" thickBot="1" x14ac:dyDescent="0.3">
      <c r="A12" s="178" t="s">
        <v>256</v>
      </c>
      <c r="B12" s="179">
        <v>0.92</v>
      </c>
      <c r="C12" s="185">
        <f t="shared" si="4"/>
        <v>17.39</v>
      </c>
      <c r="D12" s="187">
        <f>C12-C7</f>
        <v>3.26</v>
      </c>
      <c r="E12" s="180">
        <f t="shared" si="0"/>
        <v>197</v>
      </c>
      <c r="F12" s="181">
        <f t="shared" si="1"/>
        <v>0.13319810682893848</v>
      </c>
      <c r="G12" s="182">
        <f t="shared" si="2"/>
        <v>4.3500000000000014</v>
      </c>
      <c r="H12" s="183">
        <f t="shared" si="3"/>
        <v>0.33358895705521485</v>
      </c>
      <c r="P12"/>
      <c r="R12" s="10"/>
    </row>
    <row r="13" spans="1:26" x14ac:dyDescent="0.25">
      <c r="A13" s="1"/>
      <c r="B13" s="34"/>
      <c r="C13" s="35"/>
      <c r="D13" s="35"/>
    </row>
    <row r="14" spans="1:26" x14ac:dyDescent="0.25">
      <c r="D14" s="221"/>
      <c r="G14" s="214"/>
    </row>
    <row r="17" spans="1:26" ht="15.75" x14ac:dyDescent="0.25">
      <c r="A17" s="315" t="s">
        <v>257</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8" t="s">
        <v>188</v>
      </c>
      <c r="B18" s="189">
        <v>2001</v>
      </c>
      <c r="C18" s="189">
        <v>2002</v>
      </c>
      <c r="D18" s="189">
        <v>2003</v>
      </c>
      <c r="E18" s="189">
        <v>2004</v>
      </c>
      <c r="F18" s="189">
        <v>2005</v>
      </c>
      <c r="G18" s="189">
        <v>2006</v>
      </c>
      <c r="H18" s="189">
        <v>2007</v>
      </c>
      <c r="I18" s="189">
        <v>2008</v>
      </c>
      <c r="J18" s="189">
        <v>2009</v>
      </c>
      <c r="K18" s="189">
        <v>2010</v>
      </c>
      <c r="L18" s="189">
        <v>2011</v>
      </c>
      <c r="M18" s="189">
        <v>2012</v>
      </c>
      <c r="N18" s="189">
        <v>2013</v>
      </c>
      <c r="O18" s="189">
        <v>2014</v>
      </c>
      <c r="P18" s="189">
        <v>2015</v>
      </c>
      <c r="Q18" s="189">
        <v>2016</v>
      </c>
      <c r="R18" s="189">
        <v>2017</v>
      </c>
      <c r="S18" s="189">
        <v>2018</v>
      </c>
      <c r="T18" s="189">
        <v>2019</v>
      </c>
      <c r="U18" s="189">
        <v>2020</v>
      </c>
      <c r="V18" s="189">
        <v>2021</v>
      </c>
      <c r="W18" s="189">
        <v>2022</v>
      </c>
    </row>
    <row r="19" spans="1:26" ht="15.75" thickBot="1" x14ac:dyDescent="0.3">
      <c r="A19" s="164" t="s">
        <v>253</v>
      </c>
      <c r="B19" s="165">
        <v>985</v>
      </c>
      <c r="C19" s="165">
        <v>1017</v>
      </c>
      <c r="D19" s="165">
        <v>1013</v>
      </c>
      <c r="E19" s="165">
        <v>1008</v>
      </c>
      <c r="F19" s="165">
        <v>1001</v>
      </c>
      <c r="G19" s="165">
        <v>979</v>
      </c>
      <c r="H19" s="165">
        <v>980</v>
      </c>
      <c r="I19" s="165">
        <v>1005</v>
      </c>
      <c r="J19" s="165">
        <v>999</v>
      </c>
      <c r="K19" s="165">
        <v>980</v>
      </c>
      <c r="L19" s="165">
        <v>995</v>
      </c>
      <c r="M19" s="165">
        <v>975</v>
      </c>
      <c r="N19" s="165">
        <v>987</v>
      </c>
      <c r="O19" s="165">
        <v>991</v>
      </c>
      <c r="P19" s="165">
        <v>997</v>
      </c>
      <c r="Q19" s="165">
        <v>1003</v>
      </c>
      <c r="R19" s="165">
        <v>979</v>
      </c>
      <c r="S19" s="165">
        <v>949</v>
      </c>
      <c r="T19" s="165">
        <v>940</v>
      </c>
      <c r="U19" s="165">
        <v>883</v>
      </c>
      <c r="V19" s="165">
        <v>872</v>
      </c>
      <c r="W19" s="165">
        <v>930</v>
      </c>
    </row>
    <row r="20" spans="1:26" ht="15.75" thickTop="1" x14ac:dyDescent="0.25">
      <c r="A20" s="142" t="s">
        <v>198</v>
      </c>
      <c r="B20" s="143">
        <v>63</v>
      </c>
      <c r="C20" s="143">
        <v>67</v>
      </c>
      <c r="D20" s="143">
        <v>66</v>
      </c>
      <c r="E20" s="143">
        <v>72</v>
      </c>
      <c r="F20" s="143">
        <v>71</v>
      </c>
      <c r="G20" s="143">
        <v>79</v>
      </c>
      <c r="H20" s="143">
        <v>79</v>
      </c>
      <c r="I20" s="143">
        <v>76</v>
      </c>
      <c r="J20" s="143">
        <v>71</v>
      </c>
      <c r="K20" s="143">
        <v>69</v>
      </c>
      <c r="L20" s="143">
        <v>78</v>
      </c>
      <c r="M20" s="143">
        <v>77</v>
      </c>
      <c r="N20" s="143">
        <v>83</v>
      </c>
      <c r="O20" s="143">
        <v>88</v>
      </c>
      <c r="P20" s="143">
        <v>94</v>
      </c>
      <c r="Q20" s="143">
        <v>105</v>
      </c>
      <c r="R20" s="143">
        <v>119</v>
      </c>
      <c r="S20" s="143">
        <v>116</v>
      </c>
      <c r="T20" s="143">
        <v>107</v>
      </c>
      <c r="U20" s="143">
        <v>93</v>
      </c>
      <c r="V20" s="143">
        <v>92</v>
      </c>
      <c r="W20" s="143">
        <v>103</v>
      </c>
    </row>
    <row r="21" spans="1:26" x14ac:dyDescent="0.25">
      <c r="A21" s="142" t="s">
        <v>254</v>
      </c>
      <c r="B21" s="143">
        <v>83</v>
      </c>
      <c r="C21" s="143">
        <v>99</v>
      </c>
      <c r="D21" s="143">
        <v>112</v>
      </c>
      <c r="E21" s="143">
        <v>123</v>
      </c>
      <c r="F21" s="143">
        <v>131</v>
      </c>
      <c r="G21" s="143">
        <v>144</v>
      </c>
      <c r="H21" s="143">
        <v>122</v>
      </c>
      <c r="I21" s="143">
        <v>106</v>
      </c>
      <c r="J21" s="143">
        <v>101</v>
      </c>
      <c r="K21" s="143">
        <v>99</v>
      </c>
      <c r="L21" s="143">
        <v>108</v>
      </c>
      <c r="M21" s="143">
        <v>65</v>
      </c>
      <c r="N21" s="143">
        <v>64</v>
      </c>
      <c r="O21" s="143">
        <v>63</v>
      </c>
      <c r="P21" s="143">
        <v>62</v>
      </c>
      <c r="Q21" s="143">
        <v>75</v>
      </c>
      <c r="R21" s="143">
        <v>83</v>
      </c>
      <c r="S21" s="143">
        <v>92</v>
      </c>
      <c r="T21" s="143">
        <v>103</v>
      </c>
      <c r="U21" s="143">
        <v>86</v>
      </c>
      <c r="V21" s="143">
        <v>85</v>
      </c>
      <c r="W21" s="143">
        <v>105</v>
      </c>
    </row>
    <row r="22" spans="1:26" x14ac:dyDescent="0.25">
      <c r="A22" s="142" t="s">
        <v>197</v>
      </c>
      <c r="B22" s="145">
        <v>66</v>
      </c>
      <c r="C22" s="145">
        <v>68</v>
      </c>
      <c r="D22" s="145">
        <v>64</v>
      </c>
      <c r="E22" s="145">
        <v>64</v>
      </c>
      <c r="F22" s="145">
        <v>64</v>
      </c>
      <c r="G22" s="145">
        <v>49</v>
      </c>
      <c r="H22" s="145">
        <v>53</v>
      </c>
      <c r="I22" s="145">
        <v>56</v>
      </c>
      <c r="J22" s="145">
        <v>65</v>
      </c>
      <c r="K22" s="145">
        <v>68</v>
      </c>
      <c r="L22" s="145">
        <v>68</v>
      </c>
      <c r="M22" s="145">
        <v>66</v>
      </c>
      <c r="N22" s="145">
        <v>69</v>
      </c>
      <c r="O22" s="145">
        <v>64</v>
      </c>
      <c r="P22" s="145">
        <v>61</v>
      </c>
      <c r="Q22" s="145">
        <v>40</v>
      </c>
      <c r="R22" s="145">
        <v>10</v>
      </c>
      <c r="S22" s="145">
        <v>0</v>
      </c>
      <c r="T22" s="145">
        <v>0</v>
      </c>
      <c r="U22" s="145">
        <v>0</v>
      </c>
      <c r="V22" s="145">
        <v>0</v>
      </c>
      <c r="W22" s="145">
        <v>0</v>
      </c>
    </row>
    <row r="23" spans="1:26" x14ac:dyDescent="0.25">
      <c r="A23" s="177" t="s">
        <v>255</v>
      </c>
      <c r="B23" s="145">
        <v>1578</v>
      </c>
      <c r="C23" s="145">
        <v>1615</v>
      </c>
      <c r="D23" s="145">
        <v>1652</v>
      </c>
      <c r="E23" s="145">
        <v>1685</v>
      </c>
      <c r="F23" s="145">
        <v>1720</v>
      </c>
      <c r="G23" s="145">
        <v>1669</v>
      </c>
      <c r="H23" s="145">
        <v>1685</v>
      </c>
      <c r="I23" s="145">
        <v>1643</v>
      </c>
      <c r="J23" s="145">
        <v>1559</v>
      </c>
      <c r="K23" s="145">
        <v>1617</v>
      </c>
      <c r="L23" s="145">
        <v>1725</v>
      </c>
      <c r="M23" s="145">
        <v>1815</v>
      </c>
      <c r="N23" s="145">
        <v>1849</v>
      </c>
      <c r="O23" s="145">
        <v>1859</v>
      </c>
      <c r="P23" s="145">
        <v>1913</v>
      </c>
      <c r="Q23" s="145">
        <v>1947</v>
      </c>
      <c r="R23" s="145">
        <v>1852</v>
      </c>
      <c r="S23" s="145">
        <v>1621</v>
      </c>
      <c r="T23" s="145">
        <v>1435</v>
      </c>
      <c r="U23" s="145">
        <v>1267</v>
      </c>
      <c r="V23" s="145">
        <v>1283</v>
      </c>
      <c r="W23" s="145">
        <v>1325</v>
      </c>
    </row>
    <row r="24" spans="1:26" x14ac:dyDescent="0.25">
      <c r="A24" s="142" t="s">
        <v>256</v>
      </c>
      <c r="B24" s="145">
        <v>1479</v>
      </c>
      <c r="C24" s="145">
        <v>1494</v>
      </c>
      <c r="D24" s="145">
        <v>1528</v>
      </c>
      <c r="E24" s="145">
        <v>1554</v>
      </c>
      <c r="F24" s="145">
        <v>1574</v>
      </c>
      <c r="G24" s="145">
        <v>1593</v>
      </c>
      <c r="H24" s="145">
        <v>1552</v>
      </c>
      <c r="I24" s="145">
        <v>1524</v>
      </c>
      <c r="J24" s="145">
        <v>1410</v>
      </c>
      <c r="K24" s="145">
        <v>1453</v>
      </c>
      <c r="L24" s="145">
        <v>1512</v>
      </c>
      <c r="M24" s="145">
        <v>1574</v>
      </c>
      <c r="N24" s="145">
        <v>1638</v>
      </c>
      <c r="O24" s="145">
        <v>1700</v>
      </c>
      <c r="P24" s="145">
        <v>1764</v>
      </c>
      <c r="Q24" s="145">
        <v>1867</v>
      </c>
      <c r="R24" s="145">
        <v>1912</v>
      </c>
      <c r="S24" s="145">
        <v>1935</v>
      </c>
      <c r="T24" s="145">
        <v>1970</v>
      </c>
      <c r="U24" s="145">
        <v>1706</v>
      </c>
      <c r="V24" s="145">
        <v>1697</v>
      </c>
      <c r="W24" s="145">
        <v>1676</v>
      </c>
    </row>
    <row r="25" spans="1:26"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row>
    <row r="26" spans="1:26" x14ac:dyDescent="0.25">
      <c r="A26" s="141"/>
      <c r="B26" s="141"/>
      <c r="C26" s="141"/>
      <c r="D26" s="141"/>
      <c r="E26" s="141"/>
      <c r="F26" s="141"/>
      <c r="G26" s="141"/>
      <c r="H26" s="141"/>
      <c r="I26" s="141"/>
      <c r="J26" s="141"/>
      <c r="K26" s="141"/>
      <c r="L26" s="141"/>
      <c r="M26" s="141"/>
      <c r="N26" s="141"/>
      <c r="O26" s="141"/>
      <c r="P26" s="141"/>
      <c r="Q26" s="141"/>
      <c r="R26" s="141"/>
      <c r="S26" s="141"/>
      <c r="T26" s="141"/>
      <c r="U26" s="141"/>
      <c r="V26" s="141"/>
      <c r="W26" s="141"/>
    </row>
    <row r="27" spans="1:26" ht="15.75" x14ac:dyDescent="0.25">
      <c r="A27" s="315" t="s">
        <v>258</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8" t="s">
        <v>188</v>
      </c>
      <c r="B28" s="189">
        <v>2001</v>
      </c>
      <c r="C28" s="189">
        <v>2002</v>
      </c>
      <c r="D28" s="189">
        <v>2003</v>
      </c>
      <c r="E28" s="189">
        <v>2004</v>
      </c>
      <c r="F28" s="189">
        <v>2005</v>
      </c>
      <c r="G28" s="189">
        <v>2006</v>
      </c>
      <c r="H28" s="189">
        <v>2007</v>
      </c>
      <c r="I28" s="189">
        <v>2008</v>
      </c>
      <c r="J28" s="189">
        <v>2009</v>
      </c>
      <c r="K28" s="189">
        <v>2010</v>
      </c>
      <c r="L28" s="189">
        <v>2011</v>
      </c>
      <c r="M28" s="189">
        <v>2012</v>
      </c>
      <c r="N28" s="189">
        <v>2013</v>
      </c>
      <c r="O28" s="189">
        <v>2014</v>
      </c>
      <c r="P28" s="189">
        <v>2015</v>
      </c>
      <c r="Q28" s="189">
        <v>2016</v>
      </c>
      <c r="R28" s="189">
        <v>2017</v>
      </c>
      <c r="S28" s="189">
        <v>2018</v>
      </c>
      <c r="T28" s="189">
        <v>2019</v>
      </c>
      <c r="U28" s="189">
        <v>2020</v>
      </c>
      <c r="V28" s="189">
        <v>2021</v>
      </c>
      <c r="W28" s="189">
        <v>2022</v>
      </c>
    </row>
    <row r="29" spans="1:26" ht="15.75" thickBot="1" x14ac:dyDescent="0.3">
      <c r="A29" s="164" t="s">
        <v>253</v>
      </c>
      <c r="B29" s="166">
        <f t="shared" ref="B29:B34" si="5">(B19-B19)/B19</f>
        <v>0</v>
      </c>
      <c r="C29" s="166">
        <f t="shared" ref="C29:C34" si="6">(C19-B19)/B19</f>
        <v>3.2487309644670052E-2</v>
      </c>
      <c r="D29" s="166">
        <f t="shared" ref="D29:D34" si="7">(D19-B19)/B19</f>
        <v>2.8426395939086295E-2</v>
      </c>
      <c r="E29" s="166">
        <f t="shared" ref="E29:E34" si="8">(E19-B19)/B19</f>
        <v>2.3350253807106598E-2</v>
      </c>
      <c r="F29" s="166">
        <f t="shared" ref="F29:F34" si="9">(F19-B19)/B19</f>
        <v>1.6243654822335026E-2</v>
      </c>
      <c r="G29" s="166">
        <f t="shared" ref="G29:G34" si="10">(G19-B19)/B19</f>
        <v>-6.0913705583756344E-3</v>
      </c>
      <c r="H29" s="166">
        <f t="shared" ref="H29:H34" si="11">(H19-B19)/B19</f>
        <v>-5.076142131979695E-3</v>
      </c>
      <c r="I29" s="166">
        <f t="shared" ref="I29:I34" si="12">(I19-B19)/B19</f>
        <v>2.030456852791878E-2</v>
      </c>
      <c r="J29" s="166">
        <f t="shared" ref="J29:J34" si="13">(J19-B19)/B19</f>
        <v>1.4213197969543147E-2</v>
      </c>
      <c r="K29" s="166">
        <f t="shared" ref="K29:K34" si="14">(K19-B19)/B19</f>
        <v>-5.076142131979695E-3</v>
      </c>
      <c r="L29" s="166">
        <f t="shared" ref="L29:L34" si="15">(L19-B19)/B19</f>
        <v>1.015228426395939E-2</v>
      </c>
      <c r="M29" s="166">
        <f t="shared" ref="M29:M34" si="16">(M19-B19)/B19</f>
        <v>-1.015228426395939E-2</v>
      </c>
      <c r="N29" s="166">
        <f t="shared" ref="N29:N34" si="17">(N19-B19)/B19</f>
        <v>2.0304568527918783E-3</v>
      </c>
      <c r="O29" s="166">
        <f t="shared" ref="O29:O34" si="18">(O19-B19)/B19</f>
        <v>6.0913705583756344E-3</v>
      </c>
      <c r="P29" s="166">
        <f t="shared" ref="P29:P34" si="19">(P19-B19)/B19</f>
        <v>1.2182741116751269E-2</v>
      </c>
      <c r="Q29" s="166">
        <f t="shared" ref="Q29:Q34" si="20">(Q19-B19)/B19</f>
        <v>1.8274111675126905E-2</v>
      </c>
      <c r="R29" s="166">
        <f t="shared" ref="R29:R34" si="21">(R19-B19)/B19</f>
        <v>-6.0913705583756344E-3</v>
      </c>
      <c r="S29" s="166">
        <f t="shared" ref="S29:S34" si="22">(S19-B19)/B19</f>
        <v>-3.654822335025381E-2</v>
      </c>
      <c r="T29" s="166">
        <f t="shared" ref="T29:T34" si="23">(T19-B19)/B19</f>
        <v>-4.5685279187817257E-2</v>
      </c>
      <c r="U29" s="166">
        <f t="shared" ref="U29:U34" si="24">(U19-B19)/B19</f>
        <v>-0.10355329949238579</v>
      </c>
      <c r="V29" s="166">
        <f t="shared" ref="V29:V34" si="25">(V19-B19)/B19</f>
        <v>-0.11472081218274112</v>
      </c>
      <c r="W29" s="166">
        <f t="shared" ref="W29:W34" si="26">(W19-B19)/B19</f>
        <v>-5.5837563451776651E-2</v>
      </c>
      <c r="Y29" t="s">
        <v>254</v>
      </c>
      <c r="Z29" s="213">
        <v>0.4</v>
      </c>
    </row>
    <row r="30" spans="1:26" ht="15.75" thickTop="1" x14ac:dyDescent="0.25">
      <c r="A30" s="142" t="s">
        <v>198</v>
      </c>
      <c r="B30" s="146">
        <f t="shared" si="5"/>
        <v>0</v>
      </c>
      <c r="C30" s="146">
        <f t="shared" si="6"/>
        <v>6.3492063492063489E-2</v>
      </c>
      <c r="D30" s="146">
        <f t="shared" si="7"/>
        <v>4.7619047619047616E-2</v>
      </c>
      <c r="E30" s="146">
        <f t="shared" si="8"/>
        <v>0.14285714285714285</v>
      </c>
      <c r="F30" s="146">
        <f t="shared" si="9"/>
        <v>0.12698412698412698</v>
      </c>
      <c r="G30" s="146">
        <f t="shared" si="10"/>
        <v>0.25396825396825395</v>
      </c>
      <c r="H30" s="146">
        <f t="shared" si="11"/>
        <v>0.25396825396825395</v>
      </c>
      <c r="I30" s="146">
        <f t="shared" si="12"/>
        <v>0.20634920634920634</v>
      </c>
      <c r="J30" s="146">
        <f t="shared" si="13"/>
        <v>0.12698412698412698</v>
      </c>
      <c r="K30" s="146">
        <f t="shared" si="14"/>
        <v>9.5238095238095233E-2</v>
      </c>
      <c r="L30" s="146">
        <f t="shared" si="15"/>
        <v>0.23809523809523808</v>
      </c>
      <c r="M30" s="146">
        <f t="shared" si="16"/>
        <v>0.22222222222222221</v>
      </c>
      <c r="N30" s="146">
        <f t="shared" si="17"/>
        <v>0.31746031746031744</v>
      </c>
      <c r="O30" s="146">
        <f t="shared" si="18"/>
        <v>0.3968253968253968</v>
      </c>
      <c r="P30" s="146">
        <f t="shared" si="19"/>
        <v>0.49206349206349204</v>
      </c>
      <c r="Q30" s="146">
        <f t="shared" si="20"/>
        <v>0.66666666666666663</v>
      </c>
      <c r="R30" s="146">
        <f t="shared" si="21"/>
        <v>0.88888888888888884</v>
      </c>
      <c r="S30" s="146">
        <f t="shared" si="22"/>
        <v>0.84126984126984128</v>
      </c>
      <c r="T30" s="146">
        <f t="shared" si="23"/>
        <v>0.69841269841269837</v>
      </c>
      <c r="U30" s="146">
        <f t="shared" si="24"/>
        <v>0.47619047619047616</v>
      </c>
      <c r="V30" s="146">
        <f t="shared" si="25"/>
        <v>0.46031746031746029</v>
      </c>
      <c r="W30" s="146">
        <f t="shared" si="26"/>
        <v>0.63492063492063489</v>
      </c>
      <c r="Y30" t="s">
        <v>197</v>
      </c>
      <c r="Z30" s="213">
        <v>2.71</v>
      </c>
    </row>
    <row r="31" spans="1:26" x14ac:dyDescent="0.25">
      <c r="A31" s="142" t="s">
        <v>254</v>
      </c>
      <c r="B31" s="146">
        <f t="shared" si="5"/>
        <v>0</v>
      </c>
      <c r="C31" s="146">
        <f t="shared" si="6"/>
        <v>0.19277108433734941</v>
      </c>
      <c r="D31" s="146">
        <f t="shared" si="7"/>
        <v>0.3493975903614458</v>
      </c>
      <c r="E31" s="146">
        <f t="shared" si="8"/>
        <v>0.48192771084337349</v>
      </c>
      <c r="F31" s="146">
        <f t="shared" si="9"/>
        <v>0.57831325301204817</v>
      </c>
      <c r="G31" s="146">
        <f t="shared" si="10"/>
        <v>0.73493975903614461</v>
      </c>
      <c r="H31" s="146">
        <f t="shared" si="11"/>
        <v>0.46987951807228917</v>
      </c>
      <c r="I31" s="146">
        <f t="shared" si="12"/>
        <v>0.27710843373493976</v>
      </c>
      <c r="J31" s="146">
        <f t="shared" si="13"/>
        <v>0.21686746987951808</v>
      </c>
      <c r="K31" s="146">
        <f t="shared" si="14"/>
        <v>0.19277108433734941</v>
      </c>
      <c r="L31" s="146">
        <f t="shared" si="15"/>
        <v>0.30120481927710846</v>
      </c>
      <c r="M31" s="146">
        <f t="shared" si="16"/>
        <v>-0.21686746987951808</v>
      </c>
      <c r="N31" s="146">
        <f t="shared" si="17"/>
        <v>-0.2289156626506024</v>
      </c>
      <c r="O31" s="146">
        <f t="shared" si="18"/>
        <v>-0.24096385542168675</v>
      </c>
      <c r="P31" s="146">
        <f t="shared" si="19"/>
        <v>-0.25301204819277107</v>
      </c>
      <c r="Q31" s="146">
        <f t="shared" si="20"/>
        <v>-9.6385542168674704E-2</v>
      </c>
      <c r="R31" s="146">
        <f t="shared" si="21"/>
        <v>0</v>
      </c>
      <c r="S31" s="146">
        <f t="shared" si="22"/>
        <v>0.10843373493975904</v>
      </c>
      <c r="T31" s="146">
        <f t="shared" si="23"/>
        <v>0.24096385542168675</v>
      </c>
      <c r="U31" s="146">
        <f t="shared" si="24"/>
        <v>3.614457831325301E-2</v>
      </c>
      <c r="V31" s="146">
        <f t="shared" si="25"/>
        <v>2.4096385542168676E-2</v>
      </c>
      <c r="W31" s="146">
        <f t="shared" si="26"/>
        <v>0.26506024096385544</v>
      </c>
      <c r="Y31" t="s">
        <v>198</v>
      </c>
      <c r="Z31" s="213">
        <v>4.2300000000000004</v>
      </c>
    </row>
    <row r="32" spans="1:26" x14ac:dyDescent="0.25">
      <c r="A32" s="142" t="s">
        <v>197</v>
      </c>
      <c r="B32" s="146">
        <f t="shared" si="5"/>
        <v>0</v>
      </c>
      <c r="C32" s="146">
        <f t="shared" si="6"/>
        <v>3.0303030303030304E-2</v>
      </c>
      <c r="D32" s="146">
        <f t="shared" si="7"/>
        <v>-3.0303030303030304E-2</v>
      </c>
      <c r="E32" s="146">
        <f t="shared" si="8"/>
        <v>-3.0303030303030304E-2</v>
      </c>
      <c r="F32" s="146">
        <f t="shared" si="9"/>
        <v>-3.0303030303030304E-2</v>
      </c>
      <c r="G32" s="146">
        <f t="shared" si="10"/>
        <v>-0.25757575757575757</v>
      </c>
      <c r="H32" s="146">
        <f t="shared" si="11"/>
        <v>-0.19696969696969696</v>
      </c>
      <c r="I32" s="146">
        <f t="shared" si="12"/>
        <v>-0.15151515151515152</v>
      </c>
      <c r="J32" s="146">
        <f t="shared" si="13"/>
        <v>-1.5151515151515152E-2</v>
      </c>
      <c r="K32" s="146">
        <f t="shared" si="14"/>
        <v>3.0303030303030304E-2</v>
      </c>
      <c r="L32" s="146">
        <f t="shared" si="15"/>
        <v>3.0303030303030304E-2</v>
      </c>
      <c r="M32" s="146">
        <f t="shared" si="16"/>
        <v>0</v>
      </c>
      <c r="N32" s="146">
        <f t="shared" si="17"/>
        <v>4.5454545454545456E-2</v>
      </c>
      <c r="O32" s="146">
        <f t="shared" si="18"/>
        <v>-3.0303030303030304E-2</v>
      </c>
      <c r="P32" s="146">
        <f t="shared" si="19"/>
        <v>-7.575757575757576E-2</v>
      </c>
      <c r="Q32" s="146">
        <f t="shared" si="20"/>
        <v>-0.39393939393939392</v>
      </c>
      <c r="R32" s="146">
        <f t="shared" si="21"/>
        <v>-0.84848484848484851</v>
      </c>
      <c r="S32" s="146">
        <f t="shared" si="22"/>
        <v>-1</v>
      </c>
      <c r="T32" s="146">
        <f t="shared" si="23"/>
        <v>-1</v>
      </c>
      <c r="U32" s="146">
        <f t="shared" si="24"/>
        <v>-1</v>
      </c>
      <c r="V32" s="146">
        <f t="shared" si="25"/>
        <v>-1</v>
      </c>
      <c r="W32" s="146">
        <f t="shared" si="26"/>
        <v>-1</v>
      </c>
      <c r="Y32" t="s">
        <v>256</v>
      </c>
      <c r="Z32" s="213">
        <v>4.3499999999999996</v>
      </c>
    </row>
    <row r="33" spans="1:26" x14ac:dyDescent="0.25">
      <c r="A33" s="177" t="s">
        <v>255</v>
      </c>
      <c r="B33" s="146">
        <f t="shared" si="5"/>
        <v>0</v>
      </c>
      <c r="C33" s="146">
        <f t="shared" si="6"/>
        <v>2.3447401774397972E-2</v>
      </c>
      <c r="D33" s="146">
        <f t="shared" si="7"/>
        <v>4.6894803548795945E-2</v>
      </c>
      <c r="E33" s="146">
        <f t="shared" si="8"/>
        <v>6.7807351077313061E-2</v>
      </c>
      <c r="F33" s="146">
        <f t="shared" si="9"/>
        <v>8.9987325728770592E-2</v>
      </c>
      <c r="G33" s="146">
        <f t="shared" si="10"/>
        <v>5.7667934093789605E-2</v>
      </c>
      <c r="H33" s="146">
        <f t="shared" si="11"/>
        <v>6.7807351077313061E-2</v>
      </c>
      <c r="I33" s="146">
        <f t="shared" si="12"/>
        <v>4.1191381495564006E-2</v>
      </c>
      <c r="J33" s="146">
        <f t="shared" si="13"/>
        <v>-1.2040557667934094E-2</v>
      </c>
      <c r="K33" s="146">
        <f t="shared" si="14"/>
        <v>2.4714828897338403E-2</v>
      </c>
      <c r="L33" s="146">
        <f t="shared" si="15"/>
        <v>9.3155893536121678E-2</v>
      </c>
      <c r="M33" s="146">
        <f t="shared" si="16"/>
        <v>0.15019011406844107</v>
      </c>
      <c r="N33" s="146">
        <f t="shared" si="17"/>
        <v>0.17173637515842838</v>
      </c>
      <c r="O33" s="146">
        <f t="shared" si="18"/>
        <v>0.17807351077313055</v>
      </c>
      <c r="P33" s="146">
        <f t="shared" si="19"/>
        <v>0.21229404309252217</v>
      </c>
      <c r="Q33" s="146">
        <f t="shared" si="20"/>
        <v>0.23384030418250951</v>
      </c>
      <c r="R33" s="146">
        <f t="shared" si="21"/>
        <v>0.17363751584283904</v>
      </c>
      <c r="S33" s="146">
        <f t="shared" si="22"/>
        <v>2.7249683143219267E-2</v>
      </c>
      <c r="T33" s="146">
        <f t="shared" si="23"/>
        <v>-9.0621039290240818E-2</v>
      </c>
      <c r="U33" s="146">
        <f t="shared" si="24"/>
        <v>-0.19708491761723701</v>
      </c>
      <c r="V33" s="146">
        <f t="shared" si="25"/>
        <v>-0.18694550063371357</v>
      </c>
      <c r="W33" s="146">
        <f t="shared" si="26"/>
        <v>-0.16032953105196451</v>
      </c>
      <c r="Y33" t="s">
        <v>255</v>
      </c>
      <c r="Z33" s="213">
        <v>4.84</v>
      </c>
    </row>
    <row r="34" spans="1:26" x14ac:dyDescent="0.25">
      <c r="A34" s="142" t="s">
        <v>256</v>
      </c>
      <c r="B34" s="146">
        <f t="shared" si="5"/>
        <v>0</v>
      </c>
      <c r="C34" s="146">
        <f t="shared" si="6"/>
        <v>1.0141987829614604E-2</v>
      </c>
      <c r="D34" s="146">
        <f t="shared" si="7"/>
        <v>3.3130493576741041E-2</v>
      </c>
      <c r="E34" s="146">
        <f t="shared" si="8"/>
        <v>5.0709939148073022E-2</v>
      </c>
      <c r="F34" s="146">
        <f t="shared" si="9"/>
        <v>6.4232589587559161E-2</v>
      </c>
      <c r="G34" s="146">
        <f t="shared" si="10"/>
        <v>7.7079107505070993E-2</v>
      </c>
      <c r="H34" s="146">
        <f t="shared" si="11"/>
        <v>4.9357674104124408E-2</v>
      </c>
      <c r="I34" s="146">
        <f t="shared" si="12"/>
        <v>3.0425963488843813E-2</v>
      </c>
      <c r="J34" s="146">
        <f t="shared" si="13"/>
        <v>-4.665314401622718E-2</v>
      </c>
      <c r="K34" s="146">
        <f t="shared" si="14"/>
        <v>-1.7579445571331981E-2</v>
      </c>
      <c r="L34" s="146">
        <f t="shared" si="15"/>
        <v>2.231237322515213E-2</v>
      </c>
      <c r="M34" s="146">
        <f t="shared" si="16"/>
        <v>6.4232589587559161E-2</v>
      </c>
      <c r="N34" s="146">
        <f t="shared" si="17"/>
        <v>0.10750507099391481</v>
      </c>
      <c r="O34" s="146">
        <f t="shared" si="18"/>
        <v>0.14942528735632185</v>
      </c>
      <c r="P34" s="146">
        <f t="shared" si="19"/>
        <v>0.1926977687626775</v>
      </c>
      <c r="Q34" s="146">
        <f t="shared" si="20"/>
        <v>0.2623394185260311</v>
      </c>
      <c r="R34" s="146">
        <f t="shared" si="21"/>
        <v>0.2927653820148749</v>
      </c>
      <c r="S34" s="146">
        <f t="shared" si="22"/>
        <v>0.30831643002028397</v>
      </c>
      <c r="T34" s="146">
        <f t="shared" si="23"/>
        <v>0.33198106828938473</v>
      </c>
      <c r="U34" s="146">
        <f t="shared" si="24"/>
        <v>0.15348208248816769</v>
      </c>
      <c r="V34" s="146">
        <f t="shared" si="25"/>
        <v>0.14739688979039892</v>
      </c>
      <c r="W34" s="146">
        <f t="shared" si="26"/>
        <v>0.13319810682893848</v>
      </c>
      <c r="Y34" t="s">
        <v>253</v>
      </c>
      <c r="Z34" s="213">
        <v>6.39</v>
      </c>
    </row>
    <row r="35" spans="1:26" x14ac:dyDescent="0.25">
      <c r="A35" s="1"/>
      <c r="B35" s="1"/>
      <c r="C35" s="1"/>
      <c r="D35" s="38"/>
      <c r="E35" s="1"/>
      <c r="F35" s="1"/>
      <c r="G35" s="1"/>
      <c r="H35" s="1"/>
      <c r="I35" s="1"/>
      <c r="J35" s="1"/>
      <c r="K35" s="1"/>
      <c r="L35" s="1"/>
      <c r="M35" s="1"/>
      <c r="N35" s="1"/>
      <c r="O35" s="39"/>
      <c r="P35" s="1"/>
      <c r="Q35" s="1"/>
      <c r="R35" s="1"/>
      <c r="S35" s="1"/>
      <c r="T35" s="1"/>
      <c r="U35" s="1"/>
      <c r="V35" s="1"/>
      <c r="W35" s="1"/>
    </row>
    <row r="36" spans="1:26" ht="15.75" x14ac:dyDescent="0.25">
      <c r="A36" s="315" t="s">
        <v>259</v>
      </c>
      <c r="B36" s="315"/>
      <c r="C36" s="315"/>
      <c r="D36" s="315"/>
      <c r="E36" s="315"/>
      <c r="F36" s="315"/>
      <c r="G36" s="315"/>
      <c r="H36" s="315"/>
      <c r="I36" s="315"/>
      <c r="J36" s="315"/>
      <c r="K36" s="315"/>
      <c r="L36" s="315"/>
      <c r="M36" s="315"/>
      <c r="N36" s="315"/>
      <c r="O36" s="315"/>
      <c r="P36" s="315"/>
      <c r="Q36" s="315"/>
      <c r="R36" s="315"/>
      <c r="S36" s="315"/>
    </row>
    <row r="37" spans="1:26" x14ac:dyDescent="0.25">
      <c r="A37" s="188" t="s">
        <v>188</v>
      </c>
      <c r="B37" s="189">
        <v>2005</v>
      </c>
      <c r="C37" s="189">
        <v>2006</v>
      </c>
      <c r="D37" s="189">
        <v>2007</v>
      </c>
      <c r="E37" s="189">
        <v>2008</v>
      </c>
      <c r="F37" s="189">
        <v>2009</v>
      </c>
      <c r="G37" s="189">
        <v>2010</v>
      </c>
      <c r="H37" s="189">
        <v>2011</v>
      </c>
      <c r="I37" s="189">
        <v>2012</v>
      </c>
      <c r="J37" s="189">
        <v>2013</v>
      </c>
      <c r="K37" s="189">
        <v>2014</v>
      </c>
      <c r="L37" s="189">
        <v>2015</v>
      </c>
      <c r="M37" s="189">
        <v>2016</v>
      </c>
      <c r="N37" s="189">
        <v>2017</v>
      </c>
      <c r="O37" s="189">
        <v>2018</v>
      </c>
      <c r="P37" s="189">
        <v>2019</v>
      </c>
      <c r="Q37" s="189">
        <v>2020</v>
      </c>
      <c r="R37" s="189">
        <v>2021</v>
      </c>
      <c r="S37" s="189">
        <v>2022</v>
      </c>
    </row>
    <row r="38" spans="1:26" ht="15.75" thickBot="1" x14ac:dyDescent="0.3">
      <c r="A38" s="164" t="s">
        <v>253</v>
      </c>
      <c r="B38" s="167">
        <v>7.74</v>
      </c>
      <c r="C38" s="167">
        <v>10.91</v>
      </c>
      <c r="D38" s="167">
        <v>11.21</v>
      </c>
      <c r="E38" s="167">
        <v>11.44</v>
      </c>
      <c r="F38" s="167">
        <v>11.11</v>
      </c>
      <c r="G38" s="167">
        <v>10.98</v>
      </c>
      <c r="H38" s="167">
        <v>11.8</v>
      </c>
      <c r="I38" s="167">
        <v>11.36</v>
      </c>
      <c r="J38" s="167">
        <v>12.14</v>
      </c>
      <c r="K38" s="167">
        <v>11.55</v>
      </c>
      <c r="L38" s="167">
        <v>11.1</v>
      </c>
      <c r="M38" s="167">
        <v>11.22</v>
      </c>
      <c r="N38" s="167">
        <v>11.33</v>
      </c>
      <c r="O38" s="167">
        <v>12.8</v>
      </c>
      <c r="P38" s="167">
        <v>13.53</v>
      </c>
      <c r="Q38" s="167">
        <v>13.72</v>
      </c>
      <c r="R38" s="167">
        <v>13.89</v>
      </c>
      <c r="S38" s="168">
        <v>14.13</v>
      </c>
      <c r="T38" s="213">
        <f>S38-(B38*1.4985)</f>
        <v>2.5316100000000006</v>
      </c>
      <c r="U38" s="220">
        <f>T38/B38</f>
        <v>0.32708139534883729</v>
      </c>
    </row>
    <row r="39" spans="1:26" ht="15.75" thickTop="1" x14ac:dyDescent="0.25">
      <c r="A39" s="142" t="s">
        <v>198</v>
      </c>
      <c r="B39" s="149">
        <v>15.93</v>
      </c>
      <c r="C39" s="149">
        <v>11.57</v>
      </c>
      <c r="D39" s="149">
        <v>14.79</v>
      </c>
      <c r="E39" s="149">
        <v>14.54</v>
      </c>
      <c r="F39" s="149">
        <v>14.5</v>
      </c>
      <c r="G39" s="149">
        <v>11.72</v>
      </c>
      <c r="H39" s="149">
        <v>12.36</v>
      </c>
      <c r="I39" s="149">
        <v>13.24</v>
      </c>
      <c r="J39" s="149">
        <v>14.49</v>
      </c>
      <c r="K39" s="149">
        <v>18.93</v>
      </c>
      <c r="L39" s="149">
        <v>22.42</v>
      </c>
      <c r="M39" s="149">
        <v>22.87</v>
      </c>
      <c r="N39" s="149">
        <v>18.89</v>
      </c>
      <c r="O39" s="149">
        <v>14.44</v>
      </c>
      <c r="P39" s="149">
        <v>14.23</v>
      </c>
      <c r="Q39" s="149">
        <v>15.04</v>
      </c>
      <c r="R39" s="149">
        <v>17.489999999999998</v>
      </c>
      <c r="S39" s="150">
        <v>20.16</v>
      </c>
      <c r="T39" s="213">
        <f t="shared" ref="T39:T43" si="27">S39-(B39*1.4985)</f>
        <v>-3.7111049999999999</v>
      </c>
      <c r="U39" s="220">
        <f>T39/B39</f>
        <v>-0.2329632768361582</v>
      </c>
    </row>
    <row r="40" spans="1:26" x14ac:dyDescent="0.25">
      <c r="A40" s="142" t="s">
        <v>254</v>
      </c>
      <c r="B40" s="149">
        <v>14.59</v>
      </c>
      <c r="C40" s="149">
        <v>12.06</v>
      </c>
      <c r="D40" s="149">
        <v>14.62</v>
      </c>
      <c r="E40" s="149">
        <v>14.41</v>
      </c>
      <c r="F40" s="149">
        <v>16.18</v>
      </c>
      <c r="G40" s="149">
        <v>15.79</v>
      </c>
      <c r="H40" s="149">
        <v>15.72</v>
      </c>
      <c r="I40" s="149">
        <v>33.44</v>
      </c>
      <c r="J40" s="149">
        <v>34.57</v>
      </c>
      <c r="K40" s="149">
        <v>32.44</v>
      </c>
      <c r="L40" s="149">
        <v>26.2</v>
      </c>
      <c r="M40" s="149">
        <v>28.25</v>
      </c>
      <c r="N40" s="149">
        <v>32.700000000000003</v>
      </c>
      <c r="O40" s="149">
        <v>20.6</v>
      </c>
      <c r="P40" s="149">
        <v>23.46</v>
      </c>
      <c r="Q40" s="149">
        <v>23.09</v>
      </c>
      <c r="R40" s="149">
        <v>14.36</v>
      </c>
      <c r="S40" s="150">
        <v>14.99</v>
      </c>
      <c r="T40" s="213">
        <f t="shared" si="27"/>
        <v>-6.8731150000000003</v>
      </c>
      <c r="U40" s="220">
        <f>T40/B40</f>
        <v>-0.47108396161754629</v>
      </c>
    </row>
    <row r="41" spans="1:26" x14ac:dyDescent="0.25">
      <c r="A41" s="142" t="s">
        <v>197</v>
      </c>
      <c r="B41" s="149">
        <v>23.39</v>
      </c>
      <c r="C41" s="149">
        <v>21.03</v>
      </c>
      <c r="D41" s="149">
        <v>18.96</v>
      </c>
      <c r="E41" s="149">
        <v>17.260000000000002</v>
      </c>
      <c r="F41" s="149">
        <v>19.46</v>
      </c>
      <c r="G41" s="149">
        <v>18.809999999999999</v>
      </c>
      <c r="H41" s="149">
        <v>25.28</v>
      </c>
      <c r="I41" s="149">
        <v>29.36</v>
      </c>
      <c r="J41" s="149">
        <v>29.74</v>
      </c>
      <c r="K41" s="149">
        <v>25.95</v>
      </c>
      <c r="L41" s="149">
        <v>25.23</v>
      </c>
      <c r="M41" s="149">
        <v>26.1</v>
      </c>
      <c r="N41" s="149">
        <v>26.1</v>
      </c>
      <c r="O41" s="149">
        <v>26.1</v>
      </c>
      <c r="P41" s="149">
        <v>26.1</v>
      </c>
      <c r="Q41" s="149">
        <v>26.1</v>
      </c>
      <c r="R41" s="149">
        <v>26.1</v>
      </c>
      <c r="S41" s="150">
        <v>26.1</v>
      </c>
      <c r="T41" s="213">
        <f t="shared" si="27"/>
        <v>-8.9499149999999972</v>
      </c>
      <c r="U41" s="220">
        <f t="shared" ref="U41:U43" si="28">T41/B41</f>
        <v>-0.38263852073535687</v>
      </c>
    </row>
    <row r="42" spans="1:26" x14ac:dyDescent="0.25">
      <c r="A42" s="219" t="s">
        <v>255</v>
      </c>
      <c r="B42" s="151">
        <v>13.14</v>
      </c>
      <c r="C42" s="151">
        <v>13.53</v>
      </c>
      <c r="D42" s="151">
        <v>13.64</v>
      </c>
      <c r="E42" s="151">
        <v>13.57</v>
      </c>
      <c r="F42" s="151">
        <v>13.55</v>
      </c>
      <c r="G42" s="151">
        <v>14.36</v>
      </c>
      <c r="H42" s="151">
        <v>14.81</v>
      </c>
      <c r="I42" s="151">
        <v>14.48</v>
      </c>
      <c r="J42" s="151">
        <v>14.69</v>
      </c>
      <c r="K42" s="151">
        <v>14.88</v>
      </c>
      <c r="L42" s="151">
        <v>15.39</v>
      </c>
      <c r="M42" s="151">
        <v>15.53</v>
      </c>
      <c r="N42" s="151">
        <v>15.96</v>
      </c>
      <c r="O42" s="151">
        <v>16</v>
      </c>
      <c r="P42" s="151">
        <v>16.8</v>
      </c>
      <c r="Q42" s="151">
        <v>16.75</v>
      </c>
      <c r="R42" s="151">
        <v>17.36</v>
      </c>
      <c r="S42" s="152">
        <v>18.239999999999998</v>
      </c>
      <c r="T42" s="213">
        <f t="shared" si="27"/>
        <v>-1.4502900000000025</v>
      </c>
      <c r="U42" s="220">
        <f t="shared" si="28"/>
        <v>-0.11037214611872165</v>
      </c>
    </row>
    <row r="43" spans="1:26" x14ac:dyDescent="0.25">
      <c r="A43" s="142" t="s">
        <v>256</v>
      </c>
      <c r="B43" s="151">
        <v>13.04</v>
      </c>
      <c r="C43" s="151">
        <v>10.88</v>
      </c>
      <c r="D43" s="151">
        <v>12.45</v>
      </c>
      <c r="E43" s="151">
        <v>11.1</v>
      </c>
      <c r="F43" s="151">
        <v>12.92</v>
      </c>
      <c r="G43" s="151">
        <v>13.33</v>
      </c>
      <c r="H43" s="151">
        <v>13.44</v>
      </c>
      <c r="I43" s="151">
        <v>13.34</v>
      </c>
      <c r="J43" s="151">
        <v>12.05</v>
      </c>
      <c r="K43" s="151">
        <v>13.03</v>
      </c>
      <c r="L43" s="151">
        <v>15.46</v>
      </c>
      <c r="M43" s="151">
        <v>17</v>
      </c>
      <c r="N43" s="151">
        <v>16.87</v>
      </c>
      <c r="O43" s="151">
        <v>16.350000000000001</v>
      </c>
      <c r="P43" s="151">
        <v>15.94</v>
      </c>
      <c r="Q43" s="151">
        <v>16.22</v>
      </c>
      <c r="R43" s="151">
        <v>16.71</v>
      </c>
      <c r="S43" s="152">
        <v>17.39</v>
      </c>
      <c r="T43" s="213">
        <f t="shared" si="27"/>
        <v>-2.1504399999999961</v>
      </c>
      <c r="U43" s="220">
        <f t="shared" si="28"/>
        <v>-0.16491104294478498</v>
      </c>
    </row>
    <row r="44" spans="1:26" x14ac:dyDescent="0.25">
      <c r="A44" s="1"/>
      <c r="B44" s="1"/>
      <c r="C44" s="1"/>
      <c r="D44" s="1"/>
      <c r="E44" s="1"/>
      <c r="F44" s="1"/>
      <c r="G44" s="1"/>
      <c r="H44" s="1"/>
      <c r="I44" s="1"/>
      <c r="J44" s="1"/>
      <c r="K44" s="39"/>
      <c r="L44" s="1"/>
      <c r="M44" s="1"/>
      <c r="N44" s="1"/>
      <c r="O44" s="1"/>
      <c r="P44" s="1"/>
      <c r="Q44" s="1"/>
      <c r="R44" s="1"/>
      <c r="S44" s="1"/>
    </row>
    <row r="45" spans="1:26" x14ac:dyDescent="0.25">
      <c r="A45" s="1"/>
      <c r="B45" s="1"/>
      <c r="C45" s="1"/>
      <c r="D45" s="1"/>
      <c r="E45" s="1"/>
      <c r="F45" s="1"/>
      <c r="G45" s="1"/>
      <c r="H45" s="1"/>
      <c r="I45" s="1"/>
      <c r="J45" s="1"/>
      <c r="K45" s="39"/>
      <c r="L45" s="1"/>
      <c r="M45" s="1"/>
      <c r="N45" s="1"/>
      <c r="O45" s="1"/>
      <c r="P45" s="1"/>
      <c r="Q45" s="1"/>
      <c r="R45" s="1"/>
      <c r="S45" s="1"/>
    </row>
    <row r="46" spans="1:26" ht="15.75" x14ac:dyDescent="0.25">
      <c r="A46" s="315" t="s">
        <v>260</v>
      </c>
      <c r="B46" s="315"/>
      <c r="C46" s="315"/>
      <c r="D46" s="315"/>
      <c r="E46" s="315"/>
      <c r="F46" s="315"/>
      <c r="G46" s="315"/>
      <c r="H46" s="315"/>
      <c r="I46" s="315"/>
      <c r="J46" s="315"/>
      <c r="K46" s="315"/>
      <c r="L46" s="315"/>
      <c r="M46" s="315"/>
      <c r="N46" s="315"/>
      <c r="O46" s="315"/>
      <c r="P46" s="315"/>
      <c r="Q46" s="315"/>
      <c r="R46" s="315"/>
      <c r="S46" s="315"/>
    </row>
    <row r="47" spans="1:26" x14ac:dyDescent="0.25">
      <c r="A47" s="188" t="s">
        <v>188</v>
      </c>
      <c r="B47" s="189">
        <v>2005</v>
      </c>
      <c r="C47" s="189">
        <v>2006</v>
      </c>
      <c r="D47" s="189">
        <v>2007</v>
      </c>
      <c r="E47" s="189">
        <v>2008</v>
      </c>
      <c r="F47" s="189">
        <v>2009</v>
      </c>
      <c r="G47" s="189">
        <v>2010</v>
      </c>
      <c r="H47" s="189">
        <v>2011</v>
      </c>
      <c r="I47" s="189">
        <v>2012</v>
      </c>
      <c r="J47" s="189">
        <v>2013</v>
      </c>
      <c r="K47" s="189">
        <v>2014</v>
      </c>
      <c r="L47" s="189">
        <v>2015</v>
      </c>
      <c r="M47" s="189">
        <v>2016</v>
      </c>
      <c r="N47" s="189">
        <v>2017</v>
      </c>
      <c r="O47" s="189">
        <v>2018</v>
      </c>
      <c r="P47" s="189">
        <v>2019</v>
      </c>
      <c r="Q47" s="189">
        <v>2020</v>
      </c>
      <c r="R47" s="189">
        <v>2021</v>
      </c>
      <c r="S47" s="189">
        <v>2022</v>
      </c>
    </row>
    <row r="48" spans="1:26" ht="15.75" thickBot="1" x14ac:dyDescent="0.3">
      <c r="A48" s="164" t="s">
        <v>253</v>
      </c>
      <c r="B48" s="166">
        <f>(B38-B38)/B38</f>
        <v>0</v>
      </c>
      <c r="C48" s="166">
        <f>(C38-B38)/B38</f>
        <v>0.40956072351421186</v>
      </c>
      <c r="D48" s="166">
        <f>(D38-B38)/B38</f>
        <v>0.4483204134366926</v>
      </c>
      <c r="E48" s="166">
        <f>(E38-B38)/B38</f>
        <v>0.4780361757105942</v>
      </c>
      <c r="F48" s="166">
        <f>(F38-B38)/B38</f>
        <v>0.4354005167958655</v>
      </c>
      <c r="G48" s="166">
        <f>(G38-B38)/B38</f>
        <v>0.41860465116279072</v>
      </c>
      <c r="H48" s="166">
        <f>(H38-B38)/B38</f>
        <v>0.52454780361757114</v>
      </c>
      <c r="I48" s="166">
        <f>(I38-B38)/B38</f>
        <v>0.46770025839793272</v>
      </c>
      <c r="J48" s="166">
        <f>(J38-B38)/B38</f>
        <v>0.56847545219638251</v>
      </c>
      <c r="K48" s="166">
        <f>(K38-B38)/B38</f>
        <v>0.49224806201550392</v>
      </c>
      <c r="L48" s="166">
        <f>(L38-B38)/B38</f>
        <v>0.43410852713178288</v>
      </c>
      <c r="M48" s="166">
        <f>(M38-B38)/B38</f>
        <v>0.44961240310077522</v>
      </c>
      <c r="N48" s="166">
        <f>(N38-B38)/B38</f>
        <v>0.46382428940568471</v>
      </c>
      <c r="O48" s="166">
        <f>(O38-B38)/B38</f>
        <v>0.65374677002583981</v>
      </c>
      <c r="P48" s="166">
        <f>(P38-B38)/B38</f>
        <v>0.74806201550387585</v>
      </c>
      <c r="Q48" s="166">
        <f>(Q38-B38)/B38</f>
        <v>0.77260981912144711</v>
      </c>
      <c r="R48" s="166">
        <f>(R38-B38)/B38</f>
        <v>0.79457364341085279</v>
      </c>
      <c r="S48" s="166">
        <f>(S38-B38)/B38</f>
        <v>0.82558139534883723</v>
      </c>
    </row>
    <row r="49" spans="1:19" ht="15.75" thickTop="1" x14ac:dyDescent="0.25">
      <c r="A49" s="142" t="s">
        <v>198</v>
      </c>
      <c r="B49" s="146">
        <f t="shared" ref="B49:B53" si="29">(B39-B39)/B39</f>
        <v>0</v>
      </c>
      <c r="C49" s="146">
        <f t="shared" ref="C49:C53" si="30">(C39-B39)/B39</f>
        <v>-0.27369742623979909</v>
      </c>
      <c r="D49" s="146">
        <f t="shared" ref="D49:D53" si="31">(D39-B39)/B39</f>
        <v>-7.1563088512241094E-2</v>
      </c>
      <c r="E49" s="146">
        <f t="shared" ref="E49:E53" si="32">(E39-B39)/B39</f>
        <v>-8.7256748273697463E-2</v>
      </c>
      <c r="F49" s="146">
        <f t="shared" ref="F49:F53" si="33">(F39-B39)/B39</f>
        <v>-8.9767733835530425E-2</v>
      </c>
      <c r="G49" s="146">
        <f t="shared" ref="G49:G53" si="34">(G39-B39)/B39</f>
        <v>-0.26428123038292523</v>
      </c>
      <c r="H49" s="146">
        <f t="shared" ref="H49:H53" si="35">(H39-B39)/B39</f>
        <v>-0.22410546139359702</v>
      </c>
      <c r="I49" s="146">
        <f t="shared" ref="I49:I53" si="36">(I39-B39)/B39</f>
        <v>-0.16886377903327052</v>
      </c>
      <c r="J49" s="146">
        <f t="shared" ref="J49:J53" si="37">(J39-B39)/B39</f>
        <v>-9.0395480225988672E-2</v>
      </c>
      <c r="K49" s="146">
        <f t="shared" ref="K49:K53" si="38">(K39-B39)/B39</f>
        <v>0.18832391713747645</v>
      </c>
      <c r="L49" s="146">
        <f t="shared" ref="L49:L53" si="39">(L39-B39)/B39</f>
        <v>0.40740740740740755</v>
      </c>
      <c r="M49" s="146">
        <f t="shared" ref="M49:M53" si="40">(M39-B39)/B39</f>
        <v>0.43565599497802898</v>
      </c>
      <c r="N49" s="146">
        <f t="shared" ref="N49:N53" si="41">(N39-B39)/B39</f>
        <v>0.18581293157564349</v>
      </c>
      <c r="O49" s="146">
        <f t="shared" ref="O49:O53" si="42">(O39-B39)/B39</f>
        <v>-9.3534212178279993E-2</v>
      </c>
      <c r="P49" s="146">
        <f t="shared" ref="P49:P53" si="43">(P39-B39)/B39</f>
        <v>-0.10671688637790329</v>
      </c>
      <c r="Q49" s="146">
        <f t="shared" ref="Q49:Q53" si="44">(Q39-B39)/B39</f>
        <v>-5.5869428750784718E-2</v>
      </c>
      <c r="R49" s="146">
        <f t="shared" ref="R49:R53" si="45">(R39-B39)/B39</f>
        <v>9.7928436911487685E-2</v>
      </c>
      <c r="S49" s="146">
        <f t="shared" ref="S49:S53" si="46">(S39-B39)/B39</f>
        <v>0.26553672316384186</v>
      </c>
    </row>
    <row r="50" spans="1:19" x14ac:dyDescent="0.25">
      <c r="A50" s="142" t="s">
        <v>254</v>
      </c>
      <c r="B50" s="146">
        <f t="shared" si="29"/>
        <v>0</v>
      </c>
      <c r="C50" s="146">
        <f t="shared" si="30"/>
        <v>-0.17340644276901984</v>
      </c>
      <c r="D50" s="146">
        <f t="shared" si="31"/>
        <v>2.0562028786839863E-3</v>
      </c>
      <c r="E50" s="146">
        <f t="shared" si="32"/>
        <v>-1.2337217272104161E-2</v>
      </c>
      <c r="F50" s="146">
        <f t="shared" si="33"/>
        <v>0.10897875257025359</v>
      </c>
      <c r="G50" s="146">
        <f t="shared" si="34"/>
        <v>8.2248115147361162E-2</v>
      </c>
      <c r="H50" s="146">
        <f t="shared" si="35"/>
        <v>7.7450308430431852E-2</v>
      </c>
      <c r="I50" s="146">
        <f t="shared" si="36"/>
        <v>1.2919808087731321</v>
      </c>
      <c r="J50" s="146">
        <f t="shared" si="37"/>
        <v>1.369431117203564</v>
      </c>
      <c r="K50" s="146">
        <f t="shared" si="38"/>
        <v>1.2234407128169977</v>
      </c>
      <c r="L50" s="146">
        <f t="shared" si="39"/>
        <v>0.79575051405071962</v>
      </c>
      <c r="M50" s="146">
        <f t="shared" si="40"/>
        <v>0.93625771076079511</v>
      </c>
      <c r="N50" s="146">
        <f t="shared" si="41"/>
        <v>1.2412611377655931</v>
      </c>
      <c r="O50" s="146">
        <f t="shared" si="42"/>
        <v>0.41192597669636749</v>
      </c>
      <c r="P50" s="146">
        <f t="shared" si="43"/>
        <v>0.60795065113091162</v>
      </c>
      <c r="Q50" s="146">
        <f t="shared" si="44"/>
        <v>0.58259081562714188</v>
      </c>
      <c r="R50" s="146">
        <f t="shared" si="45"/>
        <v>-1.5764222069910926E-2</v>
      </c>
      <c r="S50" s="146">
        <f t="shared" si="46"/>
        <v>2.741603838245376E-2</v>
      </c>
    </row>
    <row r="51" spans="1:19" x14ac:dyDescent="0.25">
      <c r="A51" s="142" t="s">
        <v>197</v>
      </c>
      <c r="B51" s="146">
        <f t="shared" si="29"/>
        <v>0</v>
      </c>
      <c r="C51" s="146">
        <f t="shared" si="30"/>
        <v>-0.1008978195810175</v>
      </c>
      <c r="D51" s="146">
        <f t="shared" si="31"/>
        <v>-0.18939717828131677</v>
      </c>
      <c r="E51" s="146">
        <f t="shared" si="32"/>
        <v>-0.26207781103035482</v>
      </c>
      <c r="F51" s="146">
        <f t="shared" si="33"/>
        <v>-0.16802052159042324</v>
      </c>
      <c r="G51" s="146">
        <f t="shared" si="34"/>
        <v>-0.19581017528858494</v>
      </c>
      <c r="H51" s="146">
        <f t="shared" si="35"/>
        <v>8.0803762291577624E-2</v>
      </c>
      <c r="I51" s="146">
        <f t="shared" si="36"/>
        <v>0.25523728088926884</v>
      </c>
      <c r="J51" s="146">
        <f t="shared" si="37"/>
        <v>0.27148353997434793</v>
      </c>
      <c r="K51" s="146">
        <f t="shared" si="38"/>
        <v>0.10944848225737489</v>
      </c>
      <c r="L51" s="146">
        <f t="shared" si="39"/>
        <v>7.8666096622488232E-2</v>
      </c>
      <c r="M51" s="146">
        <f t="shared" si="40"/>
        <v>0.11586147926464305</v>
      </c>
      <c r="N51" s="146">
        <f t="shared" si="41"/>
        <v>0.11586147926464305</v>
      </c>
      <c r="O51" s="146">
        <f t="shared" si="42"/>
        <v>0.11586147926464305</v>
      </c>
      <c r="P51" s="146">
        <f t="shared" si="43"/>
        <v>0.11586147926464305</v>
      </c>
      <c r="Q51" s="146">
        <f t="shared" si="44"/>
        <v>0.11586147926464305</v>
      </c>
      <c r="R51" s="146">
        <f t="shared" si="45"/>
        <v>0.11586147926464305</v>
      </c>
      <c r="S51" s="146">
        <f t="shared" si="46"/>
        <v>0.11586147926464305</v>
      </c>
    </row>
    <row r="52" spans="1:19" x14ac:dyDescent="0.25">
      <c r="A52" s="177" t="s">
        <v>255</v>
      </c>
      <c r="B52" s="146">
        <f t="shared" si="29"/>
        <v>0</v>
      </c>
      <c r="C52" s="146">
        <f t="shared" si="30"/>
        <v>2.9680365296803561E-2</v>
      </c>
      <c r="D52" s="146">
        <f t="shared" si="31"/>
        <v>3.8051750380517502E-2</v>
      </c>
      <c r="E52" s="146">
        <f t="shared" si="32"/>
        <v>3.2724505327245031E-2</v>
      </c>
      <c r="F52" s="146">
        <f t="shared" si="33"/>
        <v>3.1202435312024362E-2</v>
      </c>
      <c r="G52" s="146">
        <f t="shared" si="34"/>
        <v>9.2846270928462621E-2</v>
      </c>
      <c r="H52" s="146">
        <f t="shared" si="35"/>
        <v>0.12709284627092846</v>
      </c>
      <c r="I52" s="146">
        <f t="shared" si="36"/>
        <v>0.10197869101978689</v>
      </c>
      <c r="J52" s="146">
        <f t="shared" si="37"/>
        <v>0.11796042617960417</v>
      </c>
      <c r="K52" s="146">
        <f t="shared" si="38"/>
        <v>0.13242009132420093</v>
      </c>
      <c r="L52" s="146">
        <f t="shared" si="39"/>
        <v>0.17123287671232876</v>
      </c>
      <c r="M52" s="146">
        <f t="shared" si="40"/>
        <v>0.18188736681887357</v>
      </c>
      <c r="N52" s="146">
        <f t="shared" si="41"/>
        <v>0.21461187214611874</v>
      </c>
      <c r="O52" s="146">
        <f t="shared" si="42"/>
        <v>0.21765601217656008</v>
      </c>
      <c r="P52" s="146">
        <f t="shared" si="43"/>
        <v>0.27853881278538811</v>
      </c>
      <c r="Q52" s="146">
        <f t="shared" si="44"/>
        <v>0.27473363774733633</v>
      </c>
      <c r="R52" s="146">
        <f t="shared" si="45"/>
        <v>0.32115677321156766</v>
      </c>
      <c r="S52" s="146">
        <f t="shared" si="46"/>
        <v>0.38812785388127835</v>
      </c>
    </row>
    <row r="53" spans="1:19" x14ac:dyDescent="0.25">
      <c r="A53" s="142" t="s">
        <v>256</v>
      </c>
      <c r="B53" s="146">
        <f t="shared" si="29"/>
        <v>0</v>
      </c>
      <c r="C53" s="146">
        <f t="shared" si="30"/>
        <v>-0.16564417177914098</v>
      </c>
      <c r="D53" s="146">
        <f t="shared" si="31"/>
        <v>-4.5245398773006124E-2</v>
      </c>
      <c r="E53" s="146">
        <f t="shared" si="32"/>
        <v>-0.1487730061349693</v>
      </c>
      <c r="F53" s="146">
        <f t="shared" si="33"/>
        <v>-9.2024539877300013E-3</v>
      </c>
      <c r="G53" s="146">
        <f t="shared" si="34"/>
        <v>2.2239263803681054E-2</v>
      </c>
      <c r="H53" s="146">
        <f t="shared" si="35"/>
        <v>3.0674846625766899E-2</v>
      </c>
      <c r="I53" s="146">
        <f t="shared" si="36"/>
        <v>2.3006134969325208E-2</v>
      </c>
      <c r="J53" s="146">
        <f t="shared" si="37"/>
        <v>-7.5920245398772887E-2</v>
      </c>
      <c r="K53" s="146">
        <f t="shared" si="38"/>
        <v>-7.6687116564415553E-4</v>
      </c>
      <c r="L53" s="146">
        <f t="shared" si="39"/>
        <v>0.18558282208588972</v>
      </c>
      <c r="M53" s="146">
        <f t="shared" si="40"/>
        <v>0.3036809815950921</v>
      </c>
      <c r="N53" s="146">
        <f t="shared" si="41"/>
        <v>0.29371165644171793</v>
      </c>
      <c r="O53" s="146">
        <f t="shared" si="42"/>
        <v>0.25383435582822106</v>
      </c>
      <c r="P53" s="146">
        <f t="shared" si="43"/>
        <v>0.22239263803680986</v>
      </c>
      <c r="Q53" s="146">
        <f t="shared" si="44"/>
        <v>0.24386503067484663</v>
      </c>
      <c r="R53" s="146">
        <f t="shared" si="45"/>
        <v>0.28144171779141119</v>
      </c>
      <c r="S53" s="146">
        <f t="shared" si="46"/>
        <v>0.33358895705521485</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zoomScaleNormal="100" workbookViewId="0">
      <selection activeCell="U19" sqref="U19"/>
    </sheetView>
  </sheetViews>
  <sheetFormatPr defaultColWidth="9.140625" defaultRowHeight="14.25" x14ac:dyDescent="0.2"/>
  <cols>
    <col min="1" max="1" width="28.28515625" style="1" customWidth="1"/>
    <col min="2" max="3" width="10.140625" style="1" bestFit="1" customWidth="1"/>
    <col min="4" max="4" width="10.140625" style="38" bestFit="1" customWidth="1"/>
    <col min="5" max="5" width="10.7109375" style="1" customWidth="1"/>
    <col min="6" max="14" width="10.140625" style="1" bestFit="1" customWidth="1"/>
    <col min="15" max="15" width="10.140625" style="39"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3" customWidth="1"/>
    <col min="37" max="16384" width="9.140625" style="1"/>
  </cols>
  <sheetData>
    <row r="1" spans="1:28" ht="23.25" x14ac:dyDescent="0.35">
      <c r="A1" s="262" t="s">
        <v>261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262</v>
      </c>
      <c r="B3" s="315"/>
      <c r="C3" s="315"/>
      <c r="D3" s="315"/>
      <c r="E3" s="315"/>
      <c r="F3" s="315"/>
      <c r="G3" s="315"/>
      <c r="H3" s="315"/>
      <c r="I3" s="315"/>
      <c r="J3" s="315"/>
      <c r="K3" s="315"/>
      <c r="L3" s="315"/>
      <c r="M3" s="315"/>
      <c r="N3" s="315"/>
      <c r="O3" s="315"/>
      <c r="P3" s="315"/>
      <c r="Q3" s="315"/>
      <c r="R3" s="315"/>
      <c r="S3" s="315"/>
      <c r="T3" s="315"/>
      <c r="U3" s="315"/>
      <c r="V3" s="315"/>
      <c r="W3" s="315"/>
      <c r="X3" s="141"/>
    </row>
    <row r="4" spans="1:28" x14ac:dyDescent="0.2">
      <c r="A4" s="188" t="s">
        <v>188</v>
      </c>
      <c r="B4" s="189">
        <v>2001</v>
      </c>
      <c r="C4" s="189">
        <v>2002</v>
      </c>
      <c r="D4" s="189">
        <v>2003</v>
      </c>
      <c r="E4" s="189">
        <v>2004</v>
      </c>
      <c r="F4" s="189">
        <v>2005</v>
      </c>
      <c r="G4" s="189">
        <v>2006</v>
      </c>
      <c r="H4" s="189">
        <v>2007</v>
      </c>
      <c r="I4" s="189">
        <v>2008</v>
      </c>
      <c r="J4" s="189">
        <v>2009</v>
      </c>
      <c r="K4" s="189">
        <v>2010</v>
      </c>
      <c r="L4" s="189">
        <v>2011</v>
      </c>
      <c r="M4" s="189">
        <v>2012</v>
      </c>
      <c r="N4" s="189">
        <v>2013</v>
      </c>
      <c r="O4" s="189">
        <v>2014</v>
      </c>
      <c r="P4" s="189">
        <v>2015</v>
      </c>
      <c r="Q4" s="189">
        <v>2016</v>
      </c>
      <c r="R4" s="189">
        <v>2017</v>
      </c>
      <c r="S4" s="189">
        <v>2018</v>
      </c>
      <c r="T4" s="189">
        <v>2019</v>
      </c>
      <c r="U4" s="189">
        <v>2020</v>
      </c>
      <c r="V4" s="189">
        <v>2021</v>
      </c>
      <c r="W4" s="189">
        <v>2022</v>
      </c>
      <c r="X4" s="141"/>
    </row>
    <row r="5" spans="1:28" x14ac:dyDescent="0.2">
      <c r="A5" s="142" t="s">
        <v>225</v>
      </c>
      <c r="B5" s="143">
        <f>'3C'!B19</f>
        <v>985</v>
      </c>
      <c r="C5" s="143">
        <f>'3C'!C19</f>
        <v>1017</v>
      </c>
      <c r="D5" s="143">
        <f>'3C'!D19</f>
        <v>1013</v>
      </c>
      <c r="E5" s="143">
        <f>'3C'!E19</f>
        <v>1008</v>
      </c>
      <c r="F5" s="143">
        <f>'3C'!F19</f>
        <v>1001</v>
      </c>
      <c r="G5" s="143">
        <f>'3C'!G19</f>
        <v>979</v>
      </c>
      <c r="H5" s="143">
        <f>'3C'!H19</f>
        <v>980</v>
      </c>
      <c r="I5" s="143">
        <f>'3C'!I19</f>
        <v>1005</v>
      </c>
      <c r="J5" s="143">
        <f>'3C'!J19</f>
        <v>999</v>
      </c>
      <c r="K5" s="143">
        <f>'3C'!K19</f>
        <v>980</v>
      </c>
      <c r="L5" s="143">
        <f>'3C'!L19</f>
        <v>995</v>
      </c>
      <c r="M5" s="143">
        <f>'3C'!M19</f>
        <v>975</v>
      </c>
      <c r="N5" s="143">
        <f>'3C'!N19</f>
        <v>987</v>
      </c>
      <c r="O5" s="143">
        <f>'3C'!O19</f>
        <v>991</v>
      </c>
      <c r="P5" s="143">
        <f>'3C'!P19</f>
        <v>997</v>
      </c>
      <c r="Q5" s="143">
        <f>'3C'!Q19</f>
        <v>1003</v>
      </c>
      <c r="R5" s="143">
        <f>'3C'!R19</f>
        <v>979</v>
      </c>
      <c r="S5" s="143">
        <f>'3C'!S19</f>
        <v>949</v>
      </c>
      <c r="T5" s="143">
        <f>'3C'!T19</f>
        <v>940</v>
      </c>
      <c r="U5" s="143">
        <f>'3C'!U19</f>
        <v>883</v>
      </c>
      <c r="V5" s="143">
        <f>'3C'!V19</f>
        <v>872</v>
      </c>
      <c r="W5" s="143">
        <f>'3C'!W19</f>
        <v>930</v>
      </c>
      <c r="X5" s="144"/>
    </row>
    <row r="6" spans="1:28" x14ac:dyDescent="0.2">
      <c r="A6" s="142" t="s">
        <v>226</v>
      </c>
      <c r="B6" s="143">
        <v>37838</v>
      </c>
      <c r="C6" s="143">
        <v>38211</v>
      </c>
      <c r="D6" s="143">
        <v>37740</v>
      </c>
      <c r="E6" s="143">
        <v>37259</v>
      </c>
      <c r="F6" s="143">
        <v>36939</v>
      </c>
      <c r="G6" s="143">
        <v>36347</v>
      </c>
      <c r="H6" s="143">
        <v>35735</v>
      </c>
      <c r="I6" s="143">
        <v>35279</v>
      </c>
      <c r="J6" s="143">
        <v>34654</v>
      </c>
      <c r="K6" s="143">
        <v>34974</v>
      </c>
      <c r="L6" s="143">
        <v>34985</v>
      </c>
      <c r="M6" s="143">
        <v>33138</v>
      </c>
      <c r="N6" s="143">
        <v>32656</v>
      </c>
      <c r="O6" s="143">
        <v>31288</v>
      </c>
      <c r="P6" s="143">
        <v>31400</v>
      </c>
      <c r="Q6" s="143">
        <v>31028</v>
      </c>
      <c r="R6" s="143">
        <v>31054</v>
      </c>
      <c r="S6" s="143">
        <v>31953</v>
      </c>
      <c r="T6" s="143">
        <v>31941</v>
      </c>
      <c r="U6" s="143">
        <v>28823</v>
      </c>
      <c r="V6" s="143">
        <v>28114</v>
      </c>
      <c r="W6" s="143">
        <v>29326</v>
      </c>
      <c r="X6" s="144"/>
    </row>
    <row r="7" spans="1:28" ht="15.75" x14ac:dyDescent="0.25">
      <c r="A7" s="142" t="s">
        <v>227</v>
      </c>
      <c r="B7" s="143">
        <v>1172959</v>
      </c>
      <c r="C7" s="143">
        <v>1190670</v>
      </c>
      <c r="D7" s="143">
        <v>1189302</v>
      </c>
      <c r="E7" s="143">
        <v>1192710</v>
      </c>
      <c r="F7" s="143">
        <v>1202940</v>
      </c>
      <c r="G7" s="143">
        <v>1189278</v>
      </c>
      <c r="H7" s="143">
        <v>1198450</v>
      </c>
      <c r="I7" s="143">
        <v>1210896</v>
      </c>
      <c r="J7" s="143">
        <v>1209065</v>
      </c>
      <c r="K7" s="143">
        <v>1178038</v>
      </c>
      <c r="L7" s="143">
        <v>1146205</v>
      </c>
      <c r="M7" s="143">
        <v>1124340</v>
      </c>
      <c r="N7" s="143">
        <v>1134998</v>
      </c>
      <c r="O7" s="143">
        <v>1138993</v>
      </c>
      <c r="P7" s="143">
        <v>1175366</v>
      </c>
      <c r="Q7" s="143">
        <v>1208644</v>
      </c>
      <c r="R7" s="143">
        <v>1242443</v>
      </c>
      <c r="S7" s="143">
        <v>1272021</v>
      </c>
      <c r="T7" s="143">
        <v>1287976</v>
      </c>
      <c r="U7" s="143">
        <v>1205523</v>
      </c>
      <c r="V7" s="143">
        <v>1156768</v>
      </c>
      <c r="W7" s="143">
        <v>1209024</v>
      </c>
      <c r="X7" s="144"/>
      <c r="Y7" s="148"/>
      <c r="Z7" s="147"/>
    </row>
    <row r="8" spans="1:28" x14ac:dyDescent="0.2">
      <c r="A8" s="141"/>
      <c r="B8" s="141"/>
      <c r="C8" s="141"/>
      <c r="D8" s="141"/>
      <c r="E8" s="141"/>
      <c r="F8" s="141"/>
      <c r="G8" s="141"/>
      <c r="H8" s="141"/>
      <c r="I8" s="141"/>
      <c r="J8" s="141"/>
      <c r="K8" s="141"/>
      <c r="L8" s="141"/>
      <c r="M8" s="141"/>
      <c r="N8" s="141"/>
      <c r="O8" s="141"/>
      <c r="P8" s="141"/>
      <c r="Q8" s="141"/>
      <c r="R8" s="141"/>
      <c r="S8" s="141"/>
      <c r="T8" s="141"/>
      <c r="U8" s="141"/>
      <c r="V8" s="141"/>
      <c r="W8" s="141"/>
    </row>
    <row r="9" spans="1:28" x14ac:dyDescent="0.2">
      <c r="A9" s="141"/>
      <c r="B9" s="141"/>
      <c r="C9" s="141"/>
      <c r="D9" s="141"/>
      <c r="E9" s="141"/>
      <c r="F9" s="141"/>
      <c r="G9" s="141"/>
      <c r="H9" s="141"/>
      <c r="I9" s="141"/>
      <c r="J9" s="141"/>
      <c r="K9" s="141"/>
      <c r="L9" s="141"/>
      <c r="M9" s="141"/>
      <c r="N9" s="141"/>
      <c r="O9" s="141"/>
      <c r="P9" s="141"/>
      <c r="Q9" s="141"/>
      <c r="R9" s="141"/>
      <c r="S9" s="141"/>
      <c r="T9" s="141"/>
      <c r="U9" s="141"/>
      <c r="V9" s="141"/>
      <c r="W9" s="141"/>
    </row>
    <row r="10" spans="1:28" ht="15.75" x14ac:dyDescent="0.25">
      <c r="A10" s="315" t="s">
        <v>263</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8" t="s">
        <v>188</v>
      </c>
      <c r="B11" s="189">
        <v>2001</v>
      </c>
      <c r="C11" s="189">
        <v>2002</v>
      </c>
      <c r="D11" s="189">
        <v>2003</v>
      </c>
      <c r="E11" s="189">
        <v>2004</v>
      </c>
      <c r="F11" s="189">
        <v>2005</v>
      </c>
      <c r="G11" s="189">
        <v>2006</v>
      </c>
      <c r="H11" s="189">
        <v>2007</v>
      </c>
      <c r="I11" s="189">
        <v>2008</v>
      </c>
      <c r="J11" s="189">
        <v>2009</v>
      </c>
      <c r="K11" s="189">
        <v>2010</v>
      </c>
      <c r="L11" s="189">
        <v>2011</v>
      </c>
      <c r="M11" s="189">
        <v>2012</v>
      </c>
      <c r="N11" s="189">
        <v>2013</v>
      </c>
      <c r="O11" s="189">
        <v>2014</v>
      </c>
      <c r="P11" s="189">
        <v>2015</v>
      </c>
      <c r="Q11" s="189">
        <v>2016</v>
      </c>
      <c r="R11" s="189">
        <v>2017</v>
      </c>
      <c r="S11" s="189">
        <v>2018</v>
      </c>
      <c r="T11" s="189">
        <v>2019</v>
      </c>
      <c r="U11" s="189">
        <v>2020</v>
      </c>
      <c r="V11" s="189">
        <v>2021</v>
      </c>
      <c r="W11" s="189">
        <v>2022</v>
      </c>
    </row>
    <row r="12" spans="1:28" x14ac:dyDescent="0.2">
      <c r="A12" s="142" t="s">
        <v>225</v>
      </c>
      <c r="B12" s="169">
        <f>(B5-B5)/B5</f>
        <v>0</v>
      </c>
      <c r="C12" s="169">
        <f>(C5-B5)/B5</f>
        <v>3.2487309644670052E-2</v>
      </c>
      <c r="D12" s="169">
        <f>(D5-B5)/B5</f>
        <v>2.8426395939086295E-2</v>
      </c>
      <c r="E12" s="169">
        <f>(E5-B5)/B5</f>
        <v>2.3350253807106598E-2</v>
      </c>
      <c r="F12" s="169">
        <f>(F5-B5)/B5</f>
        <v>1.6243654822335026E-2</v>
      </c>
      <c r="G12" s="169">
        <f>(G5-B5)/B5</f>
        <v>-6.0913705583756344E-3</v>
      </c>
      <c r="H12" s="169">
        <f>(H5-B5)/B5</f>
        <v>-5.076142131979695E-3</v>
      </c>
      <c r="I12" s="169">
        <f>(I5-B5)/B5</f>
        <v>2.030456852791878E-2</v>
      </c>
      <c r="J12" s="169">
        <f>(J5-B5)/B5</f>
        <v>1.4213197969543147E-2</v>
      </c>
      <c r="K12" s="169">
        <f>(K5-B5)/B5</f>
        <v>-5.076142131979695E-3</v>
      </c>
      <c r="L12" s="169">
        <f>(L5-B5)/B5</f>
        <v>1.015228426395939E-2</v>
      </c>
      <c r="M12" s="169">
        <f>(M5-B5)/B5</f>
        <v>-1.015228426395939E-2</v>
      </c>
      <c r="N12" s="169">
        <f>(N5-B5)/B5</f>
        <v>2.0304568527918783E-3</v>
      </c>
      <c r="O12" s="169">
        <f>(O5-B5)/B5</f>
        <v>6.0913705583756344E-3</v>
      </c>
      <c r="P12" s="169">
        <f>(P5-B5)/B5</f>
        <v>1.2182741116751269E-2</v>
      </c>
      <c r="Q12" s="169">
        <f>(Q5-B5)/B5</f>
        <v>1.8274111675126905E-2</v>
      </c>
      <c r="R12" s="169">
        <f>(R5-B5)/B5</f>
        <v>-6.0913705583756344E-3</v>
      </c>
      <c r="S12" s="169">
        <f>(S5-B5)/B5</f>
        <v>-3.654822335025381E-2</v>
      </c>
      <c r="T12" s="169">
        <f>(T5-B5)/B5</f>
        <v>-4.5685279187817257E-2</v>
      </c>
      <c r="U12" s="169">
        <f>(U5-B5)/B5</f>
        <v>-0.10355329949238579</v>
      </c>
      <c r="V12" s="169">
        <f>(V5-B5)/B5</f>
        <v>-0.11472081218274112</v>
      </c>
      <c r="W12" s="169">
        <f>(W5-B5)/B5</f>
        <v>-5.5837563451776651E-2</v>
      </c>
    </row>
    <row r="13" spans="1:28" x14ac:dyDescent="0.2">
      <c r="A13" s="142" t="s">
        <v>226</v>
      </c>
      <c r="B13" s="169">
        <f>(B6-B6)/B6</f>
        <v>0</v>
      </c>
      <c r="C13" s="169">
        <f>(C6-B6)/B6</f>
        <v>9.8578148950790208E-3</v>
      </c>
      <c r="D13" s="169">
        <f>(D6-B6)/B6</f>
        <v>-2.5899889000475713E-3</v>
      </c>
      <c r="E13" s="169">
        <f>(E6-B6)/B6</f>
        <v>-1.5302077276811672E-2</v>
      </c>
      <c r="F13" s="169">
        <f>(F6-B6)/B6</f>
        <v>-2.3759183889211902E-2</v>
      </c>
      <c r="G13" s="169">
        <f>(G6-B6)/B6</f>
        <v>-3.9404831122152331E-2</v>
      </c>
      <c r="H13" s="169">
        <f>(H6-B6)/B6</f>
        <v>-5.5579047518367779E-2</v>
      </c>
      <c r="I13" s="169">
        <f>(I6-B6)/B6</f>
        <v>-6.7630424441038103E-2</v>
      </c>
      <c r="J13" s="169">
        <f>(J6-B6)/B6</f>
        <v>-8.4148210793382319E-2</v>
      </c>
      <c r="K13" s="169">
        <f>(K6-B6)/B6</f>
        <v>-7.5691104180982086E-2</v>
      </c>
      <c r="L13" s="169">
        <f>(L6-B6)/B6</f>
        <v>-7.5400391141180828E-2</v>
      </c>
      <c r="M13" s="169">
        <f>(M6-B6)/B6</f>
        <v>-0.12421375336962842</v>
      </c>
      <c r="N13" s="169">
        <f>(N6-B6)/B6</f>
        <v>-0.13695227020455628</v>
      </c>
      <c r="O13" s="169">
        <f>(O6-B6)/B6</f>
        <v>-0.17310640097256727</v>
      </c>
      <c r="P13" s="169">
        <f>(P6-B6)/B6</f>
        <v>-0.17014641365822719</v>
      </c>
      <c r="Q13" s="169">
        <f>(Q6-B6)/B6</f>
        <v>-0.17997780009514244</v>
      </c>
      <c r="R13" s="169">
        <f>(R6-B6)/B6</f>
        <v>-0.17929066018288492</v>
      </c>
      <c r="S13" s="169">
        <f>(S6-B6)/B6</f>
        <v>-0.15553147629367303</v>
      </c>
      <c r="T13" s="169">
        <f>(T6-B6)/B6</f>
        <v>-0.15584861779163803</v>
      </c>
      <c r="U13" s="169">
        <f>(U6-B6)/B6</f>
        <v>-0.23825255034621282</v>
      </c>
      <c r="V13" s="169">
        <f>(V6-B6)/B6</f>
        <v>-0.25699032718431208</v>
      </c>
      <c r="W13" s="169">
        <f>(W6-B6)/B6</f>
        <v>-0.2249590358898462</v>
      </c>
    </row>
    <row r="14" spans="1:28" x14ac:dyDescent="0.2">
      <c r="A14" s="142" t="s">
        <v>227</v>
      </c>
      <c r="B14" s="169">
        <f>(B7-B7)/B7</f>
        <v>0</v>
      </c>
      <c r="C14" s="169">
        <f>(C7-B7)/B7</f>
        <v>1.5099419502301445E-2</v>
      </c>
      <c r="D14" s="169">
        <f>(D7-B7)/B7</f>
        <v>1.3933138327938147E-2</v>
      </c>
      <c r="E14" s="169">
        <f>(E7-B7)/B7</f>
        <v>1.683861072722917E-2</v>
      </c>
      <c r="F14" s="169">
        <f>(F7-B7)/B7</f>
        <v>2.5560143193410854E-2</v>
      </c>
      <c r="G14" s="169">
        <f>(G7-B7)/B7</f>
        <v>1.3912677254703703E-2</v>
      </c>
      <c r="H14" s="169">
        <f>(H7-B7)/B7</f>
        <v>2.1732217409133652E-2</v>
      </c>
      <c r="I14" s="169">
        <f>(I7-B7)/B7</f>
        <v>3.2342988970628983E-2</v>
      </c>
      <c r="J14" s="169">
        <f>(J7-B7)/B7</f>
        <v>3.0781979591784539E-2</v>
      </c>
      <c r="K14" s="169">
        <f>(K7-B7)/B7</f>
        <v>4.3300746232391753E-3</v>
      </c>
      <c r="L14" s="169">
        <f>(L7-B7)/B7</f>
        <v>-2.2808981388096259E-2</v>
      </c>
      <c r="M14" s="169">
        <f>(M7-B7)/B7</f>
        <v>-4.1449871649392692E-2</v>
      </c>
      <c r="N14" s="169">
        <f>(N7-B7)/B7</f>
        <v>-3.2363450043863429E-2</v>
      </c>
      <c r="O14" s="169">
        <f>(O7-B7)/B7</f>
        <v>-2.8957533895046631E-2</v>
      </c>
      <c r="P14" s="169">
        <f>(P7-B7)/B7</f>
        <v>2.0520751364710957E-3</v>
      </c>
      <c r="Q14" s="169">
        <f>(Q7-B7)/B7</f>
        <v>3.0423058265463668E-2</v>
      </c>
      <c r="R14" s="169">
        <f>(R7-B7)/B7</f>
        <v>5.9238217192587296E-2</v>
      </c>
      <c r="S14" s="169">
        <f>(S7-B7)/B7</f>
        <v>8.4454784864603116E-2</v>
      </c>
      <c r="T14" s="169">
        <f>(T7-B7)/B7</f>
        <v>9.8057135841917747E-2</v>
      </c>
      <c r="U14" s="169">
        <f>(U7-B7)/B7</f>
        <v>2.7762266200267869E-2</v>
      </c>
      <c r="V14" s="169">
        <f>(V7-B7)/B7</f>
        <v>-1.3803551530786669E-2</v>
      </c>
      <c r="W14" s="169">
        <f>(W7-B7)/B7</f>
        <v>3.0747025258342362E-2</v>
      </c>
    </row>
    <row r="16" spans="1:28" ht="15.75" x14ac:dyDescent="0.25">
      <c r="A16" s="315" t="s">
        <v>264</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8" t="s">
        <v>188</v>
      </c>
      <c r="B17" s="189">
        <v>2005</v>
      </c>
      <c r="C17" s="189">
        <v>2006</v>
      </c>
      <c r="D17" s="189">
        <v>2007</v>
      </c>
      <c r="E17" s="189">
        <v>2008</v>
      </c>
      <c r="F17" s="189">
        <v>2009</v>
      </c>
      <c r="G17" s="189">
        <v>2010</v>
      </c>
      <c r="H17" s="189">
        <v>2011</v>
      </c>
      <c r="I17" s="189">
        <v>2012</v>
      </c>
      <c r="J17" s="189">
        <v>2013</v>
      </c>
      <c r="K17" s="189">
        <v>2014</v>
      </c>
      <c r="L17" s="189">
        <v>2015</v>
      </c>
      <c r="M17" s="189">
        <v>2016</v>
      </c>
      <c r="N17" s="189">
        <v>2017</v>
      </c>
      <c r="O17" s="189">
        <v>2018</v>
      </c>
      <c r="P17" s="189">
        <v>2019</v>
      </c>
      <c r="Q17" s="189">
        <v>2020</v>
      </c>
      <c r="R17" s="189">
        <v>2021</v>
      </c>
      <c r="S17" s="189">
        <v>2022</v>
      </c>
      <c r="T17"/>
      <c r="U17"/>
      <c r="V17"/>
      <c r="W17"/>
    </row>
    <row r="18" spans="1:23" ht="15" x14ac:dyDescent="0.25">
      <c r="A18" s="142" t="s">
        <v>225</v>
      </c>
      <c r="B18" s="149">
        <f>'3C'!B38</f>
        <v>7.74</v>
      </c>
      <c r="C18" s="149">
        <f>'3C'!C38</f>
        <v>10.91</v>
      </c>
      <c r="D18" s="149">
        <f>'3C'!D38</f>
        <v>11.21</v>
      </c>
      <c r="E18" s="149">
        <f>'3C'!E38</f>
        <v>11.44</v>
      </c>
      <c r="F18" s="149">
        <f>'3C'!F38</f>
        <v>11.11</v>
      </c>
      <c r="G18" s="149">
        <f>'3C'!G38</f>
        <v>10.98</v>
      </c>
      <c r="H18" s="149">
        <f>'3C'!H38</f>
        <v>11.8</v>
      </c>
      <c r="I18" s="149">
        <f>'3C'!I38</f>
        <v>11.36</v>
      </c>
      <c r="J18" s="149">
        <f>'3C'!J38</f>
        <v>12.14</v>
      </c>
      <c r="K18" s="149">
        <f>'3C'!K38</f>
        <v>11.55</v>
      </c>
      <c r="L18" s="149">
        <f>'3C'!L38</f>
        <v>11.1</v>
      </c>
      <c r="M18" s="149">
        <f>'3C'!M38</f>
        <v>11.22</v>
      </c>
      <c r="N18" s="149">
        <f>'3C'!N38</f>
        <v>11.33</v>
      </c>
      <c r="O18" s="149">
        <f>'3C'!O38</f>
        <v>12.8</v>
      </c>
      <c r="P18" s="149">
        <f>'3C'!P38</f>
        <v>13.53</v>
      </c>
      <c r="Q18" s="149">
        <f>'3C'!Q38</f>
        <v>13.72</v>
      </c>
      <c r="R18" s="149">
        <f>'3C'!R38</f>
        <v>13.89</v>
      </c>
      <c r="S18" s="149">
        <f>'3C'!S38</f>
        <v>14.13</v>
      </c>
      <c r="T18"/>
      <c r="U18"/>
      <c r="V18"/>
      <c r="W18"/>
    </row>
    <row r="19" spans="1:23" ht="15" x14ac:dyDescent="0.25">
      <c r="A19" s="142" t="s">
        <v>226</v>
      </c>
      <c r="B19" s="149">
        <v>10.64</v>
      </c>
      <c r="C19" s="149">
        <v>11.37</v>
      </c>
      <c r="D19" s="149">
        <v>11.08</v>
      </c>
      <c r="E19" s="149">
        <v>11.1</v>
      </c>
      <c r="F19" s="149">
        <v>11.24</v>
      </c>
      <c r="G19" s="149">
        <v>11.98</v>
      </c>
      <c r="H19" s="149">
        <v>12.3</v>
      </c>
      <c r="I19" s="149">
        <v>12.27</v>
      </c>
      <c r="J19" s="149">
        <v>12.22</v>
      </c>
      <c r="K19" s="149">
        <v>11.93</v>
      </c>
      <c r="L19" s="149">
        <v>11.9</v>
      </c>
      <c r="M19" s="149">
        <v>11.95</v>
      </c>
      <c r="N19" s="149">
        <v>12.14</v>
      </c>
      <c r="O19" s="149">
        <v>12.71</v>
      </c>
      <c r="P19" s="149">
        <v>13.1</v>
      </c>
      <c r="Q19" s="149">
        <v>13.51</v>
      </c>
      <c r="R19" s="149">
        <v>13.97</v>
      </c>
      <c r="S19" s="150">
        <v>14.1</v>
      </c>
      <c r="T19"/>
      <c r="U19"/>
      <c r="V19"/>
      <c r="W19"/>
    </row>
    <row r="20" spans="1:23" ht="15" x14ac:dyDescent="0.25">
      <c r="A20" s="142" t="s">
        <v>227</v>
      </c>
      <c r="B20" s="149">
        <v>9.7899999999999991</v>
      </c>
      <c r="C20" s="149">
        <v>9.98</v>
      </c>
      <c r="D20" s="149">
        <v>10.37</v>
      </c>
      <c r="E20" s="149">
        <v>10.68</v>
      </c>
      <c r="F20" s="149">
        <v>10.98</v>
      </c>
      <c r="G20" s="149">
        <v>11.21</v>
      </c>
      <c r="H20" s="149">
        <v>11.37</v>
      </c>
      <c r="I20" s="149">
        <v>11.4</v>
      </c>
      <c r="J20" s="149">
        <v>11.57</v>
      </c>
      <c r="K20" s="149">
        <v>11.76</v>
      </c>
      <c r="L20" s="149">
        <v>11.94</v>
      </c>
      <c r="M20" s="149">
        <v>12.16</v>
      </c>
      <c r="N20" s="149">
        <v>12.51</v>
      </c>
      <c r="O20" s="149">
        <v>12.89</v>
      </c>
      <c r="P20" s="149">
        <v>13.42</v>
      </c>
      <c r="Q20" s="149">
        <v>13.89</v>
      </c>
      <c r="R20" s="149">
        <v>14.12</v>
      </c>
      <c r="S20" s="150">
        <v>14.87</v>
      </c>
      <c r="T20"/>
      <c r="U20"/>
      <c r="V20"/>
      <c r="W20"/>
    </row>
    <row r="21" spans="1:23" ht="15" x14ac:dyDescent="0.25">
      <c r="B21" s="45"/>
      <c r="C21" s="45"/>
      <c r="D21" s="45"/>
      <c r="E21" s="45"/>
      <c r="F21" s="45"/>
      <c r="G21" s="45"/>
      <c r="H21" s="45"/>
      <c r="I21" s="45"/>
      <c r="J21" s="45"/>
      <c r="K21" s="45"/>
      <c r="L21" s="45"/>
      <c r="M21" s="45"/>
      <c r="N21" s="45"/>
      <c r="O21" s="45"/>
      <c r="P21" s="45"/>
      <c r="Q21" s="45"/>
      <c r="R21" s="45"/>
      <c r="S21" s="45"/>
      <c r="T21"/>
      <c r="U21"/>
      <c r="V21"/>
      <c r="W21"/>
    </row>
    <row r="22" spans="1:23" ht="15" x14ac:dyDescent="0.25">
      <c r="D22" s="1"/>
      <c r="K22" s="39"/>
      <c r="O22" s="1"/>
      <c r="T22"/>
      <c r="U22"/>
      <c r="V22"/>
      <c r="W22"/>
    </row>
    <row r="23" spans="1:23" ht="15.75" x14ac:dyDescent="0.25">
      <c r="A23" s="315" t="s">
        <v>265</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8" t="s">
        <v>188</v>
      </c>
      <c r="B24" s="189">
        <v>2005</v>
      </c>
      <c r="C24" s="189">
        <v>2006</v>
      </c>
      <c r="D24" s="189">
        <v>2007</v>
      </c>
      <c r="E24" s="189">
        <v>2008</v>
      </c>
      <c r="F24" s="189">
        <v>2009</v>
      </c>
      <c r="G24" s="189">
        <v>2010</v>
      </c>
      <c r="H24" s="189">
        <v>2011</v>
      </c>
      <c r="I24" s="189">
        <v>2012</v>
      </c>
      <c r="J24" s="189">
        <v>2013</v>
      </c>
      <c r="K24" s="189">
        <v>2014</v>
      </c>
      <c r="L24" s="189">
        <v>2015</v>
      </c>
      <c r="M24" s="189">
        <v>2016</v>
      </c>
      <c r="N24" s="189">
        <v>2017</v>
      </c>
      <c r="O24" s="189">
        <v>2018</v>
      </c>
      <c r="P24" s="189">
        <v>2019</v>
      </c>
      <c r="Q24" s="189">
        <v>2020</v>
      </c>
      <c r="R24" s="189">
        <v>2021</v>
      </c>
      <c r="S24" s="189">
        <v>2022</v>
      </c>
      <c r="T24"/>
      <c r="U24"/>
      <c r="V24"/>
      <c r="W24"/>
    </row>
    <row r="25" spans="1:23" ht="15" x14ac:dyDescent="0.25">
      <c r="A25" s="142" t="s">
        <v>231</v>
      </c>
      <c r="B25" s="169">
        <f>(B18-B18)/B18</f>
        <v>0</v>
      </c>
      <c r="C25" s="169">
        <f>(C18-B18)/B18</f>
        <v>0.40956072351421186</v>
      </c>
      <c r="D25" s="169">
        <f>(D18-B18)/B18</f>
        <v>0.4483204134366926</v>
      </c>
      <c r="E25" s="169">
        <f>(E18-B18)/B18</f>
        <v>0.4780361757105942</v>
      </c>
      <c r="F25" s="169">
        <f>(F18-B18)/B18</f>
        <v>0.4354005167958655</v>
      </c>
      <c r="G25" s="169">
        <f>(G18-B18)/B18</f>
        <v>0.41860465116279072</v>
      </c>
      <c r="H25" s="169">
        <f>(H18-B18)/B18</f>
        <v>0.52454780361757114</v>
      </c>
      <c r="I25" s="169">
        <f>(I18-B18)/B18</f>
        <v>0.46770025839793272</v>
      </c>
      <c r="J25" s="169">
        <f>(J18-B18)/B18</f>
        <v>0.56847545219638251</v>
      </c>
      <c r="K25" s="169">
        <f>(K18-B18)/B18</f>
        <v>0.49224806201550392</v>
      </c>
      <c r="L25" s="169">
        <f>(L18-B18)/B18</f>
        <v>0.43410852713178288</v>
      </c>
      <c r="M25" s="169">
        <f>(M18-B18)/B18</f>
        <v>0.44961240310077522</v>
      </c>
      <c r="N25" s="169">
        <f>(N18-B18)/B18</f>
        <v>0.46382428940568471</v>
      </c>
      <c r="O25" s="169">
        <f>(O18-B18)/B18</f>
        <v>0.65374677002583981</v>
      </c>
      <c r="P25" s="169">
        <f>(P18-B18)/B18</f>
        <v>0.74806201550387585</v>
      </c>
      <c r="Q25" s="169">
        <f>(Q18-B18)/B18</f>
        <v>0.77260981912144711</v>
      </c>
      <c r="R25" s="169">
        <f>(R18-B18)/B18</f>
        <v>0.79457364341085279</v>
      </c>
      <c r="S25" s="169">
        <f>(S18-B18)/B18</f>
        <v>0.82558139534883723</v>
      </c>
      <c r="T25"/>
      <c r="U25"/>
      <c r="V25"/>
      <c r="W25"/>
    </row>
    <row r="26" spans="1:23" ht="15" x14ac:dyDescent="0.25">
      <c r="A26" s="142" t="s">
        <v>226</v>
      </c>
      <c r="B26" s="169">
        <f>(B19-B19)/B19</f>
        <v>0</v>
      </c>
      <c r="C26" s="169">
        <f>(C19-B19)/B19</f>
        <v>6.8609022556390842E-2</v>
      </c>
      <c r="D26" s="169">
        <f>(D19-B19)/B19</f>
        <v>4.1353383458646566E-2</v>
      </c>
      <c r="E26" s="169">
        <f>(E19-B19)/B19</f>
        <v>4.3233082706766832E-2</v>
      </c>
      <c r="F26" s="169">
        <f>(F19-B19)/B19</f>
        <v>5.6390977443608985E-2</v>
      </c>
      <c r="G26" s="169">
        <f>(G19-B19)/B19</f>
        <v>0.12593984962406013</v>
      </c>
      <c r="H26" s="169">
        <f>(H19-B19)/B19</f>
        <v>0.15601503759398497</v>
      </c>
      <c r="I26" s="169">
        <f>(I19-B19)/B19</f>
        <v>0.15319548872180441</v>
      </c>
      <c r="J26" s="169">
        <f>(J19-B19)/B19</f>
        <v>0.14849624060150377</v>
      </c>
      <c r="K26" s="169">
        <f>(K19-B19)/B19</f>
        <v>0.12124060150375932</v>
      </c>
      <c r="L26" s="169">
        <f>(L19-B19)/B19</f>
        <v>0.11842105263157893</v>
      </c>
      <c r="M26" s="169">
        <f>(M19-B19)/B19</f>
        <v>0.12312030075187957</v>
      </c>
      <c r="N26" s="169">
        <f>(N19-B19)/B19</f>
        <v>0.14097744360902256</v>
      </c>
      <c r="O26" s="169">
        <f>(O19-B19)/B19</f>
        <v>0.19454887218045114</v>
      </c>
      <c r="P26" s="169">
        <f>(P19-B19)/B19</f>
        <v>0.23120300751879688</v>
      </c>
      <c r="Q26" s="169">
        <f>(Q19-B19)/B19</f>
        <v>0.26973684210526305</v>
      </c>
      <c r="R26" s="169">
        <f>(R19-B19)/B19</f>
        <v>0.31296992481203006</v>
      </c>
      <c r="S26" s="169">
        <f>(S19-B19)/B19</f>
        <v>0.32518796992481191</v>
      </c>
      <c r="T26"/>
      <c r="U26"/>
      <c r="V26"/>
      <c r="W26"/>
    </row>
    <row r="27" spans="1:23" ht="15" x14ac:dyDescent="0.25">
      <c r="A27" s="142" t="s">
        <v>227</v>
      </c>
      <c r="B27" s="169">
        <f>(B20-B20)/B20</f>
        <v>0</v>
      </c>
      <c r="C27" s="169">
        <f>(C20-B20)/B20</f>
        <v>1.9407558733401564E-2</v>
      </c>
      <c r="D27" s="169">
        <f>(D20-B20)/B20</f>
        <v>5.924412665985701E-2</v>
      </c>
      <c r="E27" s="169">
        <f>(E20-B20)/B20</f>
        <v>9.0909090909090981E-2</v>
      </c>
      <c r="F27" s="169">
        <f>(F20-B20)/B20</f>
        <v>0.12155260469867225</v>
      </c>
      <c r="G27" s="169">
        <f>(G20-B20)/B20</f>
        <v>0.14504596527068456</v>
      </c>
      <c r="H27" s="169">
        <f>(H20-B20)/B20</f>
        <v>0.1613891726251277</v>
      </c>
      <c r="I27" s="169">
        <f>(I20-B20)/B20</f>
        <v>0.16445352400408594</v>
      </c>
      <c r="J27" s="169">
        <f>(J20-B20)/B20</f>
        <v>0.18181818181818196</v>
      </c>
      <c r="K27" s="169">
        <f>(K20-B20)/B20</f>
        <v>0.20122574055158332</v>
      </c>
      <c r="L27" s="169">
        <f>(L20-B20)/B20</f>
        <v>0.21961184882533202</v>
      </c>
      <c r="M27" s="169">
        <f>(M20-B20)/B20</f>
        <v>0.24208375893769166</v>
      </c>
      <c r="N27" s="169">
        <f>(N20-B20)/B20</f>
        <v>0.27783452502553635</v>
      </c>
      <c r="O27" s="169">
        <f>(O20-B20)/B20</f>
        <v>0.31664964249233929</v>
      </c>
      <c r="P27" s="169">
        <f>(P20-B20)/B20</f>
        <v>0.37078651685393271</v>
      </c>
      <c r="Q27" s="169">
        <f>(Q20-B20)/B20</f>
        <v>0.41879468845760998</v>
      </c>
      <c r="R27" s="169">
        <f>(R20-B20)/B20</f>
        <v>0.4422880490296221</v>
      </c>
      <c r="S27" s="169">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E21" sqref="E21"/>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8"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266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267</v>
      </c>
      <c r="B4" s="320"/>
      <c r="C4" s="320"/>
      <c r="D4" s="320"/>
    </row>
    <row r="5" spans="1:27" ht="15" x14ac:dyDescent="0.25">
      <c r="A5" s="321" t="s">
        <v>208</v>
      </c>
      <c r="B5" s="322"/>
      <c r="C5" s="321" t="s">
        <v>209</v>
      </c>
      <c r="D5" s="321"/>
    </row>
    <row r="6" spans="1:27" x14ac:dyDescent="0.2">
      <c r="A6" s="153" t="s">
        <v>210</v>
      </c>
      <c r="B6" s="154" t="s">
        <v>194</v>
      </c>
      <c r="C6" s="153" t="s">
        <v>210</v>
      </c>
      <c r="D6" s="155" t="s">
        <v>194</v>
      </c>
    </row>
    <row r="7" spans="1:27" x14ac:dyDescent="0.2">
      <c r="A7" s="1" t="s">
        <v>268</v>
      </c>
      <c r="B7" s="156">
        <f>18304/110210</f>
        <v>0.16608293258325016</v>
      </c>
      <c r="C7" s="1" t="s">
        <v>268</v>
      </c>
      <c r="D7" s="157">
        <v>0.17019999999999999</v>
      </c>
    </row>
    <row r="8" spans="1:27" x14ac:dyDescent="0.2">
      <c r="A8" s="1" t="s">
        <v>213</v>
      </c>
      <c r="B8" s="156">
        <f>10725/110210</f>
        <v>9.7314218310498135E-2</v>
      </c>
      <c r="C8" s="1" t="s">
        <v>213</v>
      </c>
      <c r="D8" s="157">
        <v>0.15160000000000001</v>
      </c>
    </row>
    <row r="9" spans="1:27" x14ac:dyDescent="0.2">
      <c r="A9" s="1" t="s">
        <v>214</v>
      </c>
      <c r="B9" s="156">
        <f>10207/110210</f>
        <v>9.2614100353869883E-2</v>
      </c>
      <c r="C9" s="1" t="s">
        <v>269</v>
      </c>
      <c r="D9" s="157">
        <v>0.126</v>
      </c>
    </row>
    <row r="10" spans="1:27" x14ac:dyDescent="0.2">
      <c r="A10" s="1" t="s">
        <v>219</v>
      </c>
      <c r="B10" s="156">
        <f>9763/110210</f>
        <v>8.8585427819617091E-2</v>
      </c>
      <c r="C10" s="1" t="s">
        <v>214</v>
      </c>
      <c r="D10" s="157">
        <v>0.106</v>
      </c>
    </row>
    <row r="11" spans="1:27" x14ac:dyDescent="0.2">
      <c r="A11" s="1" t="s">
        <v>270</v>
      </c>
      <c r="B11" s="156">
        <f>8430/110210</f>
        <v>7.6490336630069863E-2</v>
      </c>
      <c r="C11" s="1" t="s">
        <v>270</v>
      </c>
      <c r="D11" s="157">
        <v>0.10199999999999999</v>
      </c>
    </row>
    <row r="12" spans="1:27" x14ac:dyDescent="0.2">
      <c r="A12" s="1" t="s">
        <v>221</v>
      </c>
      <c r="B12" s="156">
        <f>8103/110210</f>
        <v>7.3523273750113416E-2</v>
      </c>
      <c r="C12" s="1" t="s">
        <v>219</v>
      </c>
      <c r="D12" s="157">
        <v>9.5100000000000004E-2</v>
      </c>
    </row>
    <row r="13" spans="1:27" x14ac:dyDescent="0.2">
      <c r="A13" s="1" t="s">
        <v>269</v>
      </c>
      <c r="B13" s="156">
        <f>6690/110210</f>
        <v>6.0702295617457581E-2</v>
      </c>
      <c r="C13" s="1" t="s">
        <v>220</v>
      </c>
      <c r="D13" s="157">
        <v>8.5000000000000006E-2</v>
      </c>
    </row>
    <row r="14" spans="1:27" x14ac:dyDescent="0.2">
      <c r="A14" s="1" t="s">
        <v>215</v>
      </c>
      <c r="B14" s="156">
        <f>6038/110210</f>
        <v>5.4786317031122404E-2</v>
      </c>
      <c r="C14" s="1" t="s">
        <v>221</v>
      </c>
      <c r="D14" s="157">
        <v>5.6000000000000001E-2</v>
      </c>
    </row>
    <row r="15" spans="1:27" x14ac:dyDescent="0.2">
      <c r="A15" s="1" t="s">
        <v>271</v>
      </c>
      <c r="B15" s="156">
        <f>5858/110210</f>
        <v>5.3153071409128026E-2</v>
      </c>
      <c r="C15" s="1" t="s">
        <v>211</v>
      </c>
      <c r="D15" s="157">
        <v>5.2999999999999999E-2</v>
      </c>
    </row>
    <row r="16" spans="1:27" x14ac:dyDescent="0.2">
      <c r="A16" s="1" t="s">
        <v>220</v>
      </c>
      <c r="B16" s="156">
        <f>5560/110210</f>
        <v>5.0449142546048452E-2</v>
      </c>
      <c r="C16" s="1" t="s">
        <v>216</v>
      </c>
      <c r="D16" s="157">
        <v>5.2900000000000003E-2</v>
      </c>
    </row>
    <row r="18" spans="2:2" x14ac:dyDescent="0.2">
      <c r="B18" s="158"/>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R17" sqref="R17"/>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8"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272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2" t="s">
        <v>273</v>
      </c>
      <c r="B3" s="192"/>
      <c r="C3" s="192"/>
      <c r="D3" s="192"/>
      <c r="F3" s="320" t="s">
        <v>274</v>
      </c>
      <c r="G3" s="320"/>
      <c r="H3" s="320"/>
    </row>
    <row r="4" spans="1:27" ht="28.5" x14ac:dyDescent="0.2">
      <c r="A4" s="190" t="s">
        <v>235</v>
      </c>
      <c r="B4" s="190" t="s">
        <v>236</v>
      </c>
      <c r="C4" s="191" t="s">
        <v>237</v>
      </c>
      <c r="D4" s="1"/>
      <c r="F4" s="190" t="s">
        <v>238</v>
      </c>
      <c r="G4" s="191" t="s">
        <v>239</v>
      </c>
      <c r="H4" s="36" t="s">
        <v>240</v>
      </c>
      <c r="O4" s="1"/>
    </row>
    <row r="5" spans="1:27" ht="15" x14ac:dyDescent="0.25">
      <c r="A5" s="159">
        <v>43313</v>
      </c>
      <c r="B5">
        <v>12</v>
      </c>
      <c r="C5" s="217" t="s">
        <v>241</v>
      </c>
      <c r="D5" s="160"/>
      <c r="F5" s="1" t="s">
        <v>343</v>
      </c>
      <c r="G5" s="158">
        <v>55</v>
      </c>
      <c r="H5" s="202" t="s">
        <v>276</v>
      </c>
      <c r="O5" s="1"/>
    </row>
    <row r="6" spans="1:27" ht="15" x14ac:dyDescent="0.25">
      <c r="A6" s="159">
        <v>43344</v>
      </c>
      <c r="B6">
        <v>6</v>
      </c>
      <c r="C6" s="217" t="s">
        <v>241</v>
      </c>
      <c r="D6" s="160"/>
      <c r="F6" s="1" t="s">
        <v>345</v>
      </c>
      <c r="G6" s="158">
        <v>27</v>
      </c>
      <c r="H6" s="202" t="s">
        <v>375</v>
      </c>
      <c r="O6" s="1"/>
    </row>
    <row r="7" spans="1:27" ht="15" x14ac:dyDescent="0.25">
      <c r="A7" s="159">
        <v>43374</v>
      </c>
      <c r="B7">
        <v>8</v>
      </c>
      <c r="C7" s="217" t="s">
        <v>241</v>
      </c>
      <c r="D7" s="160"/>
      <c r="F7" s="1" t="s">
        <v>344</v>
      </c>
      <c r="G7" s="158">
        <v>18</v>
      </c>
      <c r="H7" s="202" t="s">
        <v>376</v>
      </c>
      <c r="O7" s="1"/>
    </row>
    <row r="8" spans="1:27" ht="15" x14ac:dyDescent="0.25">
      <c r="A8" s="159">
        <v>43405</v>
      </c>
      <c r="B8">
        <v>6</v>
      </c>
      <c r="C8" s="217" t="s">
        <v>241</v>
      </c>
      <c r="D8" s="160"/>
      <c r="F8" s="1" t="s">
        <v>353</v>
      </c>
      <c r="G8" s="158">
        <v>9</v>
      </c>
      <c r="H8" s="202" t="s">
        <v>312</v>
      </c>
      <c r="O8" s="1"/>
    </row>
    <row r="9" spans="1:27" ht="15" x14ac:dyDescent="0.25">
      <c r="A9" s="159">
        <v>43435</v>
      </c>
      <c r="B9">
        <v>15</v>
      </c>
      <c r="C9" s="217" t="s">
        <v>241</v>
      </c>
      <c r="D9" s="160"/>
      <c r="F9" s="1" t="s">
        <v>347</v>
      </c>
      <c r="G9" s="158">
        <v>6</v>
      </c>
      <c r="H9" s="202" t="s">
        <v>243</v>
      </c>
      <c r="O9" s="1"/>
    </row>
    <row r="10" spans="1:27" ht="15" x14ac:dyDescent="0.25">
      <c r="A10" s="159">
        <v>43466</v>
      </c>
      <c r="B10">
        <v>6</v>
      </c>
      <c r="C10" s="217" t="s">
        <v>241</v>
      </c>
      <c r="D10" s="160"/>
      <c r="F10" s="1" t="s">
        <v>365</v>
      </c>
      <c r="G10" s="158">
        <v>4</v>
      </c>
      <c r="H10" s="202" t="s">
        <v>242</v>
      </c>
      <c r="O10" s="1"/>
    </row>
    <row r="11" spans="1:27" ht="15" x14ac:dyDescent="0.25">
      <c r="A11" s="159">
        <v>43497</v>
      </c>
      <c r="B11">
        <v>7</v>
      </c>
      <c r="C11" s="217" t="s">
        <v>241</v>
      </c>
      <c r="D11" s="160"/>
      <c r="F11" s="1" t="s">
        <v>373</v>
      </c>
      <c r="G11" s="158">
        <v>4</v>
      </c>
      <c r="H11" s="202" t="s">
        <v>243</v>
      </c>
      <c r="O11" s="1"/>
    </row>
    <row r="12" spans="1:27" ht="15" x14ac:dyDescent="0.25">
      <c r="A12" s="159">
        <v>43525</v>
      </c>
      <c r="B12">
        <v>7</v>
      </c>
      <c r="C12" s="217" t="s">
        <v>241</v>
      </c>
      <c r="D12" s="160"/>
      <c r="F12" s="1" t="s">
        <v>374</v>
      </c>
      <c r="G12" s="158">
        <v>3</v>
      </c>
      <c r="H12" s="202" t="s">
        <v>243</v>
      </c>
      <c r="O12" s="1"/>
    </row>
    <row r="13" spans="1:27" ht="15" x14ac:dyDescent="0.25">
      <c r="A13" s="159">
        <v>43556</v>
      </c>
      <c r="B13">
        <v>4</v>
      </c>
      <c r="C13" s="217" t="s">
        <v>241</v>
      </c>
      <c r="D13" s="160"/>
      <c r="F13" s="1" t="s">
        <v>367</v>
      </c>
      <c r="G13" s="158">
        <v>3</v>
      </c>
      <c r="H13" s="202" t="s">
        <v>243</v>
      </c>
      <c r="O13" s="1"/>
    </row>
    <row r="14" spans="1:27" ht="15" x14ac:dyDescent="0.25">
      <c r="A14" s="159">
        <v>43586</v>
      </c>
      <c r="B14">
        <v>9</v>
      </c>
      <c r="C14" s="217" t="s">
        <v>241</v>
      </c>
      <c r="D14" s="160"/>
      <c r="F14" s="1" t="s">
        <v>346</v>
      </c>
      <c r="G14" s="158">
        <v>2</v>
      </c>
      <c r="H14" s="202" t="s">
        <v>243</v>
      </c>
      <c r="O14" s="1"/>
    </row>
    <row r="15" spans="1:27" ht="15" x14ac:dyDescent="0.25">
      <c r="A15" s="159">
        <v>43617</v>
      </c>
      <c r="B15">
        <v>22</v>
      </c>
      <c r="C15" s="217" t="s">
        <v>241</v>
      </c>
      <c r="D15" s="160"/>
      <c r="O15" s="1"/>
    </row>
    <row r="16" spans="1:27" ht="15" x14ac:dyDescent="0.25">
      <c r="A16" s="159">
        <v>43647</v>
      </c>
      <c r="B16">
        <v>10</v>
      </c>
      <c r="C16" s="217" t="s">
        <v>241</v>
      </c>
      <c r="D16" s="160"/>
      <c r="O16" s="1"/>
    </row>
    <row r="17" spans="1:15" ht="15" x14ac:dyDescent="0.25">
      <c r="A17" s="159">
        <v>43678</v>
      </c>
      <c r="B17">
        <v>41</v>
      </c>
      <c r="C17" s="217" t="s">
        <v>241</v>
      </c>
      <c r="D17" s="160"/>
      <c r="O17" s="1"/>
    </row>
    <row r="18" spans="1:15" ht="15" x14ac:dyDescent="0.25">
      <c r="A18" s="159">
        <v>43709</v>
      </c>
      <c r="B18">
        <v>14</v>
      </c>
      <c r="C18" s="217" t="s">
        <v>241</v>
      </c>
      <c r="D18" s="160"/>
      <c r="I18" s="38"/>
      <c r="O18" s="1"/>
    </row>
    <row r="19" spans="1:15" ht="15" x14ac:dyDescent="0.25">
      <c r="A19" s="159">
        <v>43739</v>
      </c>
      <c r="B19">
        <v>2</v>
      </c>
      <c r="C19" s="217" t="s">
        <v>241</v>
      </c>
      <c r="D19" s="160"/>
      <c r="I19" s="38"/>
      <c r="O19" s="1"/>
    </row>
    <row r="20" spans="1:15" ht="15" x14ac:dyDescent="0.25">
      <c r="A20" s="159">
        <v>43770</v>
      </c>
      <c r="B20">
        <v>7</v>
      </c>
      <c r="C20" s="217" t="s">
        <v>241</v>
      </c>
      <c r="D20" s="160"/>
      <c r="I20" s="38"/>
      <c r="O20" s="1"/>
    </row>
    <row r="21" spans="1:15" ht="15" x14ac:dyDescent="0.25">
      <c r="A21" s="159">
        <v>43800</v>
      </c>
      <c r="B21">
        <v>5</v>
      </c>
      <c r="C21" s="217" t="s">
        <v>241</v>
      </c>
      <c r="D21" s="160"/>
      <c r="I21" s="38"/>
      <c r="O21" s="1"/>
    </row>
    <row r="22" spans="1:15" ht="15" x14ac:dyDescent="0.25">
      <c r="A22" s="159">
        <v>43831</v>
      </c>
      <c r="B22">
        <v>7</v>
      </c>
      <c r="C22" s="217" t="s">
        <v>241</v>
      </c>
      <c r="D22" s="160"/>
      <c r="I22" s="38"/>
      <c r="O22" s="1"/>
    </row>
    <row r="23" spans="1:15" ht="15" x14ac:dyDescent="0.25">
      <c r="A23" s="159">
        <v>43862</v>
      </c>
      <c r="B23">
        <v>7</v>
      </c>
      <c r="C23" s="217" t="s">
        <v>241</v>
      </c>
      <c r="D23" s="160"/>
      <c r="O23" s="1"/>
    </row>
    <row r="24" spans="1:15" ht="15" x14ac:dyDescent="0.25">
      <c r="A24" s="159">
        <v>43891</v>
      </c>
      <c r="B24">
        <v>5</v>
      </c>
      <c r="C24" s="217" t="s">
        <v>241</v>
      </c>
      <c r="D24" s="160"/>
      <c r="O24" s="1"/>
    </row>
    <row r="25" spans="1:15" ht="15" x14ac:dyDescent="0.25">
      <c r="A25" s="159">
        <v>43922</v>
      </c>
      <c r="B25">
        <v>0</v>
      </c>
      <c r="C25" s="217" t="s">
        <v>241</v>
      </c>
      <c r="D25" s="160"/>
      <c r="O25" s="1"/>
    </row>
    <row r="26" spans="1:15" ht="15" x14ac:dyDescent="0.25">
      <c r="A26" s="159">
        <v>43952</v>
      </c>
      <c r="B26">
        <v>0</v>
      </c>
      <c r="C26" s="217" t="s">
        <v>241</v>
      </c>
      <c r="D26" s="160"/>
      <c r="O26" s="1"/>
    </row>
    <row r="27" spans="1:15" ht="15" x14ac:dyDescent="0.25">
      <c r="A27" s="159">
        <v>43983</v>
      </c>
      <c r="B27">
        <v>3</v>
      </c>
      <c r="C27" s="217" t="s">
        <v>241</v>
      </c>
      <c r="D27" s="160"/>
      <c r="O27" s="1"/>
    </row>
    <row r="28" spans="1:15" ht="15" x14ac:dyDescent="0.25">
      <c r="A28" s="159">
        <v>44013</v>
      </c>
      <c r="B28">
        <v>3</v>
      </c>
      <c r="C28" s="217" t="s">
        <v>241</v>
      </c>
      <c r="D28" s="160"/>
      <c r="O28" s="1"/>
    </row>
    <row r="29" spans="1:15" ht="15" x14ac:dyDescent="0.25">
      <c r="A29" s="159">
        <v>44044</v>
      </c>
      <c r="B29">
        <v>24</v>
      </c>
      <c r="C29" s="217" t="s">
        <v>241</v>
      </c>
      <c r="D29" s="160"/>
      <c r="O29" s="1"/>
    </row>
    <row r="30" spans="1:15" ht="15" x14ac:dyDescent="0.25">
      <c r="A30" s="159">
        <v>44075</v>
      </c>
      <c r="B30">
        <v>19</v>
      </c>
      <c r="C30" s="217" t="s">
        <v>241</v>
      </c>
      <c r="D30" s="160"/>
      <c r="O30" s="1"/>
    </row>
    <row r="31" spans="1:15" ht="15" x14ac:dyDescent="0.25">
      <c r="A31" s="159">
        <v>44105</v>
      </c>
      <c r="B31">
        <v>7</v>
      </c>
      <c r="C31" s="217" t="s">
        <v>241</v>
      </c>
      <c r="D31" s="160"/>
      <c r="O31" s="1"/>
    </row>
    <row r="32" spans="1:15" ht="15" x14ac:dyDescent="0.25">
      <c r="A32" s="159">
        <v>44136</v>
      </c>
      <c r="B32">
        <v>7</v>
      </c>
      <c r="C32" s="217" t="s">
        <v>241</v>
      </c>
      <c r="D32" s="160"/>
      <c r="O32" s="1"/>
    </row>
    <row r="33" spans="1:15" ht="15" x14ac:dyDescent="0.25">
      <c r="A33" s="159">
        <v>44166</v>
      </c>
      <c r="B33">
        <v>6</v>
      </c>
      <c r="C33" s="217" t="s">
        <v>241</v>
      </c>
      <c r="D33" s="160"/>
      <c r="O33" s="1"/>
    </row>
    <row r="34" spans="1:15" ht="15" x14ac:dyDescent="0.25">
      <c r="A34" s="159">
        <v>44197</v>
      </c>
      <c r="B34">
        <v>13</v>
      </c>
      <c r="C34" s="217" t="s">
        <v>241</v>
      </c>
      <c r="D34" s="160"/>
      <c r="O34" s="1"/>
    </row>
    <row r="35" spans="1:15" ht="15" x14ac:dyDescent="0.25">
      <c r="A35" s="159">
        <v>44228</v>
      </c>
      <c r="B35">
        <v>5</v>
      </c>
      <c r="C35" s="217" t="s">
        <v>241</v>
      </c>
      <c r="D35" s="160"/>
      <c r="O35" s="1"/>
    </row>
    <row r="36" spans="1:15" ht="15" x14ac:dyDescent="0.25">
      <c r="A36" s="159">
        <v>44256</v>
      </c>
      <c r="B36">
        <v>3</v>
      </c>
      <c r="C36" s="217" t="s">
        <v>241</v>
      </c>
      <c r="D36" s="160"/>
      <c r="O36" s="1"/>
    </row>
    <row r="37" spans="1:15" ht="15" x14ac:dyDescent="0.25">
      <c r="A37" s="159">
        <v>44287</v>
      </c>
      <c r="B37">
        <v>8</v>
      </c>
      <c r="C37" s="217" t="s">
        <v>241</v>
      </c>
      <c r="D37" s="160"/>
      <c r="O37" s="1"/>
    </row>
    <row r="38" spans="1:15" ht="15" x14ac:dyDescent="0.25">
      <c r="A38" s="159">
        <v>44317</v>
      </c>
      <c r="B38">
        <v>7</v>
      </c>
      <c r="C38" s="217" t="s">
        <v>241</v>
      </c>
      <c r="D38" s="160"/>
      <c r="O38" s="1"/>
    </row>
    <row r="39" spans="1:15" ht="15" x14ac:dyDescent="0.25">
      <c r="A39" s="159">
        <v>44348</v>
      </c>
      <c r="B39">
        <v>21</v>
      </c>
      <c r="C39" s="217" t="s">
        <v>241</v>
      </c>
      <c r="D39" s="160"/>
      <c r="O39" s="1"/>
    </row>
    <row r="40" spans="1:15" ht="15" x14ac:dyDescent="0.25">
      <c r="A40" s="159">
        <v>44378</v>
      </c>
      <c r="B40">
        <v>8</v>
      </c>
      <c r="C40" s="217" t="s">
        <v>241</v>
      </c>
      <c r="D40" s="160"/>
      <c r="O40" s="1"/>
    </row>
    <row r="41" spans="1:15" ht="15" x14ac:dyDescent="0.25">
      <c r="A41" s="159">
        <v>44409</v>
      </c>
      <c r="B41">
        <v>24</v>
      </c>
      <c r="C41" s="217" t="s">
        <v>241</v>
      </c>
      <c r="D41" s="160"/>
      <c r="O41" s="1"/>
    </row>
    <row r="42" spans="1:15" ht="15" x14ac:dyDescent="0.25">
      <c r="A42" s="159">
        <v>44440</v>
      </c>
      <c r="B42">
        <v>12</v>
      </c>
      <c r="C42" s="217" t="s">
        <v>241</v>
      </c>
      <c r="D42" s="160"/>
      <c r="O42" s="1"/>
    </row>
    <row r="43" spans="1:15" ht="15" x14ac:dyDescent="0.25">
      <c r="A43" s="159">
        <v>44470</v>
      </c>
      <c r="B43">
        <v>20</v>
      </c>
      <c r="C43" s="217" t="s">
        <v>241</v>
      </c>
      <c r="D43" s="160"/>
      <c r="O43" s="1"/>
    </row>
    <row r="44" spans="1:15" ht="15" x14ac:dyDescent="0.25">
      <c r="A44" s="159">
        <v>44501</v>
      </c>
      <c r="B44">
        <v>8</v>
      </c>
      <c r="C44" s="217" t="s">
        <v>241</v>
      </c>
      <c r="D44" s="160"/>
      <c r="O44" s="1"/>
    </row>
    <row r="45" spans="1:15" ht="15" x14ac:dyDescent="0.25">
      <c r="A45" s="159">
        <v>44531</v>
      </c>
      <c r="B45">
        <v>4</v>
      </c>
      <c r="C45" s="217" t="s">
        <v>241</v>
      </c>
      <c r="D45" s="160"/>
      <c r="O45" s="1"/>
    </row>
    <row r="46" spans="1:15" ht="15" x14ac:dyDescent="0.25">
      <c r="A46" s="159">
        <v>44562</v>
      </c>
      <c r="B46">
        <v>4</v>
      </c>
      <c r="C46" s="217" t="s">
        <v>241</v>
      </c>
      <c r="D46" s="160"/>
      <c r="O46" s="1"/>
    </row>
    <row r="47" spans="1:15" ht="15" x14ac:dyDescent="0.25">
      <c r="A47" s="159">
        <v>44593</v>
      </c>
      <c r="B47">
        <v>9</v>
      </c>
      <c r="C47" s="217" t="s">
        <v>241</v>
      </c>
      <c r="D47" s="160"/>
      <c r="O47" s="1"/>
    </row>
    <row r="48" spans="1:15" ht="15" x14ac:dyDescent="0.25">
      <c r="A48" s="159">
        <v>44621</v>
      </c>
      <c r="B48">
        <v>7</v>
      </c>
      <c r="C48" s="217" t="s">
        <v>241</v>
      </c>
      <c r="D48" s="160"/>
      <c r="O48" s="1"/>
    </row>
    <row r="49" spans="1:15" ht="15" x14ac:dyDescent="0.25">
      <c r="A49" s="159">
        <v>44652</v>
      </c>
      <c r="B49">
        <v>3</v>
      </c>
      <c r="C49" s="217" t="s">
        <v>241</v>
      </c>
      <c r="D49" s="160"/>
      <c r="O49" s="1"/>
    </row>
    <row r="50" spans="1:15" ht="15" x14ac:dyDescent="0.25">
      <c r="A50" s="159">
        <v>44682</v>
      </c>
      <c r="B50">
        <v>12</v>
      </c>
      <c r="C50" s="217" t="s">
        <v>241</v>
      </c>
      <c r="D50" s="160"/>
      <c r="O50" s="1"/>
    </row>
    <row r="51" spans="1:15" ht="15" x14ac:dyDescent="0.25">
      <c r="A51" s="159">
        <v>44713</v>
      </c>
      <c r="B51">
        <v>13</v>
      </c>
      <c r="C51" s="217" t="s">
        <v>241</v>
      </c>
      <c r="D51" s="160"/>
      <c r="O51" s="1"/>
    </row>
    <row r="52" spans="1:15" ht="15" x14ac:dyDescent="0.25">
      <c r="A52" s="159">
        <v>44743</v>
      </c>
      <c r="B52">
        <v>12</v>
      </c>
      <c r="C52" s="217" t="s">
        <v>241</v>
      </c>
      <c r="D52" s="160"/>
      <c r="O52" s="1"/>
    </row>
    <row r="53" spans="1:15" ht="15" x14ac:dyDescent="0.25">
      <c r="A53" s="159">
        <v>44774</v>
      </c>
      <c r="B53">
        <v>26</v>
      </c>
      <c r="C53" s="217" t="s">
        <v>241</v>
      </c>
      <c r="D53" s="160"/>
      <c r="O53" s="1"/>
    </row>
    <row r="54" spans="1:15" ht="15" x14ac:dyDescent="0.25">
      <c r="A54" s="159">
        <v>44805</v>
      </c>
      <c r="B54">
        <v>12</v>
      </c>
      <c r="C54" s="217" t="s">
        <v>241</v>
      </c>
      <c r="D54" s="160"/>
      <c r="O54" s="1"/>
    </row>
    <row r="55" spans="1:15" ht="15" x14ac:dyDescent="0.25">
      <c r="A55" s="159">
        <v>44835</v>
      </c>
      <c r="B55">
        <v>13</v>
      </c>
      <c r="C55" s="217" t="s">
        <v>241</v>
      </c>
      <c r="D55" s="160"/>
      <c r="O55" s="1"/>
    </row>
    <row r="56" spans="1:15" ht="15" x14ac:dyDescent="0.25">
      <c r="A56" s="159">
        <v>44866</v>
      </c>
      <c r="B56">
        <v>8</v>
      </c>
      <c r="C56" s="217" t="s">
        <v>241</v>
      </c>
      <c r="D56" s="160"/>
      <c r="O56" s="1"/>
    </row>
    <row r="57" spans="1:15" ht="15" x14ac:dyDescent="0.25">
      <c r="A57" s="159">
        <v>44896</v>
      </c>
      <c r="B57">
        <v>8</v>
      </c>
      <c r="C57" s="217" t="s">
        <v>241</v>
      </c>
      <c r="D57" s="160"/>
      <c r="O57" s="1"/>
    </row>
    <row r="58" spans="1:15" ht="15" x14ac:dyDescent="0.25">
      <c r="A58" s="159">
        <v>44927</v>
      </c>
      <c r="B58">
        <v>10</v>
      </c>
      <c r="C58" s="217" t="s">
        <v>241</v>
      </c>
      <c r="D58" s="160"/>
      <c r="O58" s="1"/>
    </row>
    <row r="59" spans="1:15" ht="15" x14ac:dyDescent="0.25">
      <c r="A59" s="159">
        <v>44958</v>
      </c>
      <c r="B59">
        <v>7</v>
      </c>
      <c r="C59" s="217" t="s">
        <v>241</v>
      </c>
      <c r="D59" s="160"/>
      <c r="O59" s="1"/>
    </row>
    <row r="60" spans="1:15" ht="15" x14ac:dyDescent="0.25">
      <c r="A60" s="159">
        <v>44986</v>
      </c>
      <c r="B60">
        <v>4</v>
      </c>
      <c r="C60" s="217" t="s">
        <v>241</v>
      </c>
      <c r="D60" s="160"/>
      <c r="O60" s="1"/>
    </row>
    <row r="61" spans="1:15" ht="15" x14ac:dyDescent="0.25">
      <c r="A61" s="159">
        <v>45017</v>
      </c>
      <c r="B61">
        <v>15</v>
      </c>
      <c r="C61" s="217" t="s">
        <v>241</v>
      </c>
      <c r="D61" s="160"/>
      <c r="O61" s="1"/>
    </row>
    <row r="62" spans="1:15" ht="15" x14ac:dyDescent="0.25">
      <c r="A62" s="159">
        <v>45047</v>
      </c>
      <c r="B62">
        <v>6</v>
      </c>
      <c r="C62" s="217" t="s">
        <v>241</v>
      </c>
      <c r="D62" s="160"/>
      <c r="O62" s="1"/>
    </row>
    <row r="63" spans="1:15" ht="15" x14ac:dyDescent="0.25">
      <c r="A63" s="159">
        <v>45078</v>
      </c>
      <c r="B63">
        <v>14</v>
      </c>
      <c r="C63" s="217" t="s">
        <v>241</v>
      </c>
      <c r="D63" s="160"/>
      <c r="O63" s="1"/>
    </row>
    <row r="64" spans="1:15" ht="15" x14ac:dyDescent="0.25">
      <c r="A64" s="159">
        <v>45108</v>
      </c>
      <c r="B64">
        <v>9</v>
      </c>
      <c r="C64" s="217" t="s">
        <v>241</v>
      </c>
      <c r="D64" s="160"/>
      <c r="E64" s="160"/>
      <c r="O64" s="1"/>
    </row>
    <row r="65" spans="1:15" x14ac:dyDescent="0.2">
      <c r="A65" s="159"/>
      <c r="C65" s="81"/>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G14" sqref="G14"/>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8"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39"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3" customWidth="1"/>
    <col min="34" max="16384" width="9.140625" style="1"/>
  </cols>
  <sheetData>
    <row r="1" spans="1:25" ht="23.25" x14ac:dyDescent="0.35">
      <c r="A1" s="262" t="s">
        <v>277</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H19" zoomScaleNormal="100" workbookViewId="0">
      <selection activeCell="AG19" sqref="AG19"/>
    </sheetView>
  </sheetViews>
  <sheetFormatPr defaultColWidth="9.140625" defaultRowHeight="14.25" x14ac:dyDescent="0.2"/>
  <cols>
    <col min="1" max="1" width="32" style="1" customWidth="1"/>
    <col min="2" max="2" width="8.140625" style="1" customWidth="1"/>
    <col min="3" max="3" width="9.85546875" style="1" customWidth="1"/>
    <col min="4" max="4" width="7.28515625" style="38"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39"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278</v>
      </c>
      <c r="B1" s="262"/>
      <c r="C1" s="262"/>
      <c r="D1" s="262"/>
      <c r="E1" s="262"/>
      <c r="F1" s="262"/>
      <c r="G1" s="262"/>
      <c r="H1" s="262"/>
      <c r="I1" s="262"/>
      <c r="J1" s="262"/>
      <c r="K1" s="262"/>
      <c r="L1" s="262"/>
      <c r="M1" s="262"/>
      <c r="N1" s="262"/>
      <c r="O1" s="262"/>
      <c r="P1" s="262"/>
      <c r="Q1" s="262"/>
      <c r="R1" s="262"/>
    </row>
    <row r="2" spans="1:27" ht="15" thickBot="1" x14ac:dyDescent="0.25">
      <c r="B2" s="37"/>
      <c r="C2" s="37"/>
      <c r="P2" s="1"/>
      <c r="Q2" s="39"/>
    </row>
    <row r="3" spans="1:27" ht="12.75" customHeight="1" thickBot="1" x14ac:dyDescent="0.25">
      <c r="A3" s="327" t="s">
        <v>29</v>
      </c>
      <c r="B3" s="330" t="s">
        <v>30</v>
      </c>
      <c r="C3" s="261"/>
      <c r="D3" s="297" t="s">
        <v>31</v>
      </c>
      <c r="E3" s="298"/>
      <c r="F3" s="211" t="s">
        <v>33</v>
      </c>
      <c r="G3" s="210" t="s">
        <v>33</v>
      </c>
      <c r="H3" s="210" t="s">
        <v>33</v>
      </c>
      <c r="I3" s="303" t="s">
        <v>33</v>
      </c>
      <c r="J3" s="303"/>
      <c r="K3" s="303" t="s">
        <v>34</v>
      </c>
      <c r="L3" s="303"/>
      <c r="M3" s="210" t="s">
        <v>35</v>
      </c>
      <c r="N3" s="210" t="s">
        <v>35</v>
      </c>
      <c r="O3" s="212" t="s">
        <v>35</v>
      </c>
      <c r="P3" s="1"/>
      <c r="Q3" s="39"/>
      <c r="V3" s="273" t="s">
        <v>279</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39"/>
      <c r="U4" s="1" t="s">
        <v>130</v>
      </c>
      <c r="V4" s="43" t="s">
        <v>131</v>
      </c>
      <c r="W4" s="43" t="s">
        <v>48</v>
      </c>
      <c r="X4" s="43" t="s">
        <v>50</v>
      </c>
      <c r="Y4" s="43" t="s">
        <v>132</v>
      </c>
      <c r="Z4" s="43" t="s">
        <v>133</v>
      </c>
      <c r="AA4" s="43" t="s">
        <v>134</v>
      </c>
    </row>
    <row r="5" spans="1:27" ht="36.75" thickBot="1" x14ac:dyDescent="0.25">
      <c r="A5" s="329"/>
      <c r="B5" s="302"/>
      <c r="C5" s="324"/>
      <c r="D5" s="291"/>
      <c r="E5" s="293"/>
      <c r="F5" s="311"/>
      <c r="G5" s="309"/>
      <c r="H5" s="309"/>
      <c r="I5" s="44" t="s">
        <v>48</v>
      </c>
      <c r="J5" s="44" t="s">
        <v>49</v>
      </c>
      <c r="K5" s="44" t="s">
        <v>50</v>
      </c>
      <c r="L5" s="44" t="s">
        <v>51</v>
      </c>
      <c r="M5" s="313"/>
      <c r="N5" s="313"/>
      <c r="O5" s="326"/>
      <c r="P5" s="1"/>
      <c r="Q5" s="39"/>
      <c r="U5" s="1">
        <v>0</v>
      </c>
      <c r="V5" s="45">
        <f>H6</f>
        <v>14.127456769888392</v>
      </c>
      <c r="W5" s="45">
        <f>I6</f>
        <v>15.540200892857143</v>
      </c>
      <c r="X5" s="45">
        <f>K6</f>
        <v>17.094220982142858</v>
      </c>
      <c r="Y5" s="45">
        <f>M6</f>
        <v>18.803643080357144</v>
      </c>
      <c r="Z5" s="45">
        <f>N6</f>
        <v>20.68400738839286</v>
      </c>
      <c r="AA5" s="45">
        <f>O6</f>
        <v>22.752408127232147</v>
      </c>
    </row>
    <row r="6" spans="1:27" x14ac:dyDescent="0.2">
      <c r="A6" s="110" t="s">
        <v>56</v>
      </c>
      <c r="B6" s="111">
        <f>'1A'!B13</f>
        <v>12.39</v>
      </c>
      <c r="C6" s="112">
        <f>'1A'!C13</f>
        <v>25771.200000000001</v>
      </c>
      <c r="D6" s="58">
        <f>'1A'!D13</f>
        <v>15.540200892857143</v>
      </c>
      <c r="E6" s="113">
        <f>'1A'!E13</f>
        <v>32323.617857142857</v>
      </c>
      <c r="F6" s="58">
        <f>'1A'!F13</f>
        <v>14.127456769888392</v>
      </c>
      <c r="G6" s="58">
        <f>'1A'!G13</f>
        <v>14.127456769888392</v>
      </c>
      <c r="H6" s="58">
        <f>'1A'!H13</f>
        <v>14.127456769888392</v>
      </c>
      <c r="I6" s="59">
        <f>'1A'!I13</f>
        <v>15.540200892857143</v>
      </c>
      <c r="J6" s="115">
        <f>'1A'!J13</f>
        <v>16.317210937500001</v>
      </c>
      <c r="K6" s="59">
        <f>'1A'!K13</f>
        <v>17.094220982142858</v>
      </c>
      <c r="L6" s="59">
        <f>'1A'!L13</f>
        <v>17.948932031250003</v>
      </c>
      <c r="M6" s="59">
        <f>'1A'!M13</f>
        <v>18.803643080357144</v>
      </c>
      <c r="N6" s="59">
        <f>'1A'!N13</f>
        <v>20.68400738839286</v>
      </c>
      <c r="O6" s="161">
        <f>'1A'!O13</f>
        <v>22.752408127232147</v>
      </c>
      <c r="P6" s="1"/>
      <c r="U6" s="1">
        <v>1</v>
      </c>
      <c r="V6" s="45">
        <f t="shared" ref="V6:V25" si="0">V5*1.025</f>
        <v>14.4806431891356</v>
      </c>
      <c r="W6" s="45">
        <f t="shared" ref="W6:W25" si="1">W5*1.025</f>
        <v>15.92870591517857</v>
      </c>
      <c r="X6" s="45">
        <f t="shared" ref="X6:X25" si="2">X5*1.025</f>
        <v>17.521576506696427</v>
      </c>
      <c r="Y6" s="45">
        <f t="shared" ref="Y6:Y25" si="3">Y5*1.025</f>
        <v>19.273734157366071</v>
      </c>
      <c r="Z6" s="45">
        <f t="shared" ref="Z6:Z25" si="4">Z5*1.025</f>
        <v>21.201107573102679</v>
      </c>
      <c r="AA6" s="45">
        <f t="shared" ref="AA6:AA25" si="5">AA5*1.025</f>
        <v>23.32121833041295</v>
      </c>
    </row>
    <row r="7" spans="1:27" x14ac:dyDescent="0.2">
      <c r="A7" s="286" t="s">
        <v>135</v>
      </c>
      <c r="B7" s="287"/>
      <c r="C7" s="287"/>
      <c r="D7" s="287"/>
      <c r="E7" s="287"/>
      <c r="F7" s="287"/>
      <c r="G7" s="287"/>
      <c r="H7" s="288"/>
      <c r="I7" s="54">
        <f>I6-H6</f>
        <v>1.4127441229687516</v>
      </c>
      <c r="J7" s="54">
        <f t="shared" ref="J7:O7" si="6">J6-I6</f>
        <v>0.77701004464285717</v>
      </c>
      <c r="K7" s="54">
        <f t="shared" si="6"/>
        <v>0.77701004464285717</v>
      </c>
      <c r="L7" s="54">
        <f>L6-K6</f>
        <v>0.85471104910714502</v>
      </c>
      <c r="M7" s="54">
        <f t="shared" si="6"/>
        <v>0.85471104910714146</v>
      </c>
      <c r="N7" s="54">
        <f t="shared" si="6"/>
        <v>1.8803643080357162</v>
      </c>
      <c r="O7" s="54">
        <f t="shared" si="6"/>
        <v>2.0684007388392871</v>
      </c>
      <c r="P7" s="1"/>
      <c r="U7" s="1">
        <v>2</v>
      </c>
      <c r="V7" s="45">
        <f t="shared" si="0"/>
        <v>14.842659268863988</v>
      </c>
      <c r="W7" s="45">
        <f t="shared" si="1"/>
        <v>16.326923563058035</v>
      </c>
      <c r="X7" s="45">
        <f t="shared" si="2"/>
        <v>17.959615919363834</v>
      </c>
      <c r="Y7" s="45">
        <f t="shared" si="3"/>
        <v>19.755577511300221</v>
      </c>
      <c r="Z7" s="45">
        <f t="shared" si="4"/>
        <v>21.731135262430243</v>
      </c>
      <c r="AA7" s="45">
        <f t="shared" si="5"/>
        <v>23.904248788673272</v>
      </c>
    </row>
    <row r="8" spans="1:27" x14ac:dyDescent="0.2">
      <c r="A8" s="55" t="s">
        <v>65</v>
      </c>
      <c r="B8" s="58">
        <f>'1A'!B21</f>
        <v>12.39</v>
      </c>
      <c r="C8" s="113">
        <f>'1A'!C21</f>
        <v>25771.200000000001</v>
      </c>
      <c r="D8" s="58">
        <f>'1A'!D21</f>
        <v>14.127455357142855</v>
      </c>
      <c r="E8" s="113">
        <f>'1A'!E21</f>
        <v>29385.107142857138</v>
      </c>
      <c r="F8" s="58">
        <f>'1A'!F21</f>
        <v>12.843142518080356</v>
      </c>
      <c r="G8" s="59">
        <f>'1A'!G21</f>
        <v>12.843142518080356</v>
      </c>
      <c r="H8" s="59">
        <f>'1A'!H21</f>
        <v>12.843142518080356</v>
      </c>
      <c r="I8" s="60">
        <f>'1A'!I21</f>
        <v>14.127455357142855</v>
      </c>
      <c r="J8" s="60">
        <f>'1A'!J21</f>
        <v>14.833828124999998</v>
      </c>
      <c r="K8" s="60">
        <f>'1A'!K21</f>
        <v>15.540200892857142</v>
      </c>
      <c r="L8" s="60">
        <f>'1A'!L21</f>
        <v>16.317210937500001</v>
      </c>
      <c r="M8" s="60">
        <f>'1A'!M21</f>
        <v>17.094220982142858</v>
      </c>
      <c r="N8" s="60">
        <f>'1A'!N21</f>
        <v>18.803643080357144</v>
      </c>
      <c r="O8" s="61">
        <f>'1A'!O21</f>
        <v>20.68400738839286</v>
      </c>
      <c r="P8" s="1"/>
      <c r="U8" s="1">
        <v>3</v>
      </c>
      <c r="V8" s="45">
        <f t="shared" si="0"/>
        <v>15.213725750585587</v>
      </c>
      <c r="W8" s="45">
        <f t="shared" si="1"/>
        <v>16.735096652134484</v>
      </c>
      <c r="X8" s="45">
        <f t="shared" si="2"/>
        <v>18.408606317347928</v>
      </c>
      <c r="Y8" s="45">
        <f t="shared" si="3"/>
        <v>20.249466949082723</v>
      </c>
      <c r="Z8" s="45">
        <f t="shared" si="4"/>
        <v>22.274413643990997</v>
      </c>
      <c r="AA8" s="45">
        <f t="shared" si="5"/>
        <v>24.501855008390102</v>
      </c>
    </row>
    <row r="9" spans="1:27" x14ac:dyDescent="0.2">
      <c r="A9" s="286" t="s">
        <v>135</v>
      </c>
      <c r="B9" s="287"/>
      <c r="C9" s="287"/>
      <c r="D9" s="287"/>
      <c r="E9" s="287"/>
      <c r="F9" s="287"/>
      <c r="G9" s="287"/>
      <c r="H9" s="288"/>
      <c r="I9" s="54">
        <f>I8-H8</f>
        <v>1.2843128390624994</v>
      </c>
      <c r="J9" s="54">
        <f t="shared" ref="J9:O9" si="7">J8-I8</f>
        <v>0.7063727678571432</v>
      </c>
      <c r="K9" s="54">
        <f t="shared" si="7"/>
        <v>0.7063727678571432</v>
      </c>
      <c r="L9" s="54">
        <f t="shared" si="7"/>
        <v>0.77701004464285894</v>
      </c>
      <c r="M9" s="54">
        <f t="shared" si="7"/>
        <v>0.77701004464285717</v>
      </c>
      <c r="N9" s="54">
        <f t="shared" si="7"/>
        <v>1.7094220982142865</v>
      </c>
      <c r="O9" s="54">
        <f t="shared" si="7"/>
        <v>1.8803643080357162</v>
      </c>
      <c r="P9" s="1"/>
      <c r="U9" s="1">
        <v>4</v>
      </c>
      <c r="V9" s="45">
        <f t="shared" si="0"/>
        <v>15.594068894350226</v>
      </c>
      <c r="W9" s="45">
        <f t="shared" si="1"/>
        <v>17.153474068437845</v>
      </c>
      <c r="X9" s="45">
        <f t="shared" si="2"/>
        <v>18.868821475281624</v>
      </c>
      <c r="Y9" s="45">
        <f t="shared" si="3"/>
        <v>20.75570362280979</v>
      </c>
      <c r="Z9" s="45">
        <f t="shared" si="4"/>
        <v>22.831273985090771</v>
      </c>
      <c r="AA9" s="45">
        <f t="shared" si="5"/>
        <v>25.114401383599851</v>
      </c>
    </row>
    <row r="10" spans="1:27" x14ac:dyDescent="0.2">
      <c r="P10" s="1"/>
      <c r="Q10" s="39"/>
      <c r="U10" s="1">
        <v>5</v>
      </c>
      <c r="V10" s="45">
        <f t="shared" si="0"/>
        <v>15.98392061670898</v>
      </c>
      <c r="W10" s="45">
        <f t="shared" si="1"/>
        <v>17.582310920148789</v>
      </c>
      <c r="X10" s="45">
        <f t="shared" si="2"/>
        <v>19.340542012163663</v>
      </c>
      <c r="Y10" s="45">
        <f t="shared" si="3"/>
        <v>21.274596213380033</v>
      </c>
      <c r="Z10" s="45">
        <f t="shared" si="4"/>
        <v>23.402055834718038</v>
      </c>
      <c r="AA10" s="45">
        <f t="shared" si="5"/>
        <v>25.742261418189845</v>
      </c>
    </row>
    <row r="11" spans="1:27" x14ac:dyDescent="0.2">
      <c r="U11" s="1">
        <v>6</v>
      </c>
      <c r="V11" s="45">
        <f t="shared" si="0"/>
        <v>16.383518632126702</v>
      </c>
      <c r="W11" s="45">
        <f t="shared" si="1"/>
        <v>18.021868693152506</v>
      </c>
      <c r="X11" s="45">
        <f t="shared" si="2"/>
        <v>19.824055562467752</v>
      </c>
      <c r="Y11" s="45">
        <f t="shared" si="3"/>
        <v>21.80646111871453</v>
      </c>
      <c r="Z11" s="45">
        <f t="shared" si="4"/>
        <v>23.987107230585988</v>
      </c>
      <c r="AA11" s="45">
        <f t="shared" si="5"/>
        <v>26.385817953644587</v>
      </c>
    </row>
    <row r="12" spans="1:27" x14ac:dyDescent="0.2">
      <c r="U12" s="1">
        <v>7</v>
      </c>
      <c r="V12" s="45">
        <f t="shared" si="0"/>
        <v>16.793106597929867</v>
      </c>
      <c r="W12" s="45">
        <f t="shared" si="1"/>
        <v>18.472415410481318</v>
      </c>
      <c r="X12" s="45">
        <f t="shared" si="2"/>
        <v>20.319656951529446</v>
      </c>
      <c r="Y12" s="45">
        <f t="shared" si="3"/>
        <v>22.35162264668239</v>
      </c>
      <c r="Z12" s="45">
        <f t="shared" si="4"/>
        <v>24.586784911350634</v>
      </c>
      <c r="AA12" s="45">
        <f t="shared" si="5"/>
        <v>27.045463402485698</v>
      </c>
    </row>
    <row r="13" spans="1:27" x14ac:dyDescent="0.2">
      <c r="U13" s="1">
        <v>8</v>
      </c>
      <c r="V13" s="45">
        <f t="shared" si="0"/>
        <v>17.212934262878111</v>
      </c>
      <c r="W13" s="45">
        <f t="shared" si="1"/>
        <v>18.934225795743348</v>
      </c>
      <c r="X13" s="45">
        <f t="shared" si="2"/>
        <v>20.827648375317679</v>
      </c>
      <c r="Y13" s="45">
        <f t="shared" si="3"/>
        <v>22.910413212849448</v>
      </c>
      <c r="Z13" s="45">
        <f t="shared" si="4"/>
        <v>25.201454534134399</v>
      </c>
      <c r="AA13" s="45">
        <f t="shared" si="5"/>
        <v>27.721599987547837</v>
      </c>
    </row>
    <row r="14" spans="1:27" ht="16.5" thickBot="1" x14ac:dyDescent="0.3">
      <c r="A14" s="28" t="s">
        <v>280</v>
      </c>
      <c r="B14" s="28"/>
      <c r="C14" s="28"/>
      <c r="D14" s="28"/>
      <c r="E14" s="28"/>
      <c r="F14" s="28"/>
      <c r="G14" s="28"/>
      <c r="H14" s="28"/>
      <c r="I14" s="28"/>
      <c r="J14" s="28"/>
      <c r="K14" s="28"/>
      <c r="L14" s="28"/>
      <c r="M14" s="28"/>
      <c r="N14" s="28"/>
      <c r="O14" s="28"/>
      <c r="P14" s="28"/>
      <c r="Q14" s="28"/>
      <c r="R14" s="28"/>
      <c r="S14" s="28"/>
      <c r="T14" s="28"/>
      <c r="U14" s="1">
        <v>9</v>
      </c>
      <c r="V14" s="45">
        <f t="shared" si="0"/>
        <v>17.643257619450061</v>
      </c>
      <c r="W14" s="45">
        <f t="shared" si="1"/>
        <v>19.407581440636932</v>
      </c>
      <c r="X14" s="45">
        <f t="shared" si="2"/>
        <v>21.348339584700618</v>
      </c>
      <c r="Y14" s="45">
        <f t="shared" si="3"/>
        <v>23.483173543170683</v>
      </c>
      <c r="Z14" s="45">
        <f t="shared" si="4"/>
        <v>25.831490897487758</v>
      </c>
      <c r="AA14" s="45">
        <f t="shared" si="5"/>
        <v>28.41463998723653</v>
      </c>
    </row>
    <row r="15" spans="1:27"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2"/>
      <c r="U15" s="1">
        <v>10</v>
      </c>
      <c r="V15" s="45">
        <f t="shared" si="0"/>
        <v>18.084339059936312</v>
      </c>
      <c r="W15" s="45">
        <f t="shared" si="1"/>
        <v>19.892770976652855</v>
      </c>
      <c r="X15" s="45">
        <f t="shared" si="2"/>
        <v>21.882048074318131</v>
      </c>
      <c r="Y15" s="45">
        <f t="shared" si="3"/>
        <v>24.070252881749948</v>
      </c>
      <c r="Z15" s="45">
        <f t="shared" si="4"/>
        <v>26.477278169924951</v>
      </c>
      <c r="AA15" s="45">
        <f t="shared" si="5"/>
        <v>29.12500598691744</v>
      </c>
    </row>
    <row r="16" spans="1:27"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3"/>
      <c r="U16" s="1">
        <v>11</v>
      </c>
      <c r="V16" s="45">
        <f t="shared" si="0"/>
        <v>18.536447536434718</v>
      </c>
      <c r="W16" s="45">
        <f t="shared" si="1"/>
        <v>20.390090251069175</v>
      </c>
      <c r="X16" s="45">
        <f t="shared" si="2"/>
        <v>22.429099276176082</v>
      </c>
      <c r="Y16" s="45">
        <f t="shared" si="3"/>
        <v>24.672009203793696</v>
      </c>
      <c r="Z16" s="45">
        <f t="shared" si="4"/>
        <v>27.139210124173072</v>
      </c>
      <c r="AA16" s="45">
        <f t="shared" si="5"/>
        <v>29.853131136590374</v>
      </c>
    </row>
    <row r="17" spans="1:27" ht="15" thickBot="1" x14ac:dyDescent="0.25">
      <c r="A17" s="276"/>
      <c r="B17" s="64" t="s">
        <v>141</v>
      </c>
      <c r="C17" s="65" t="s">
        <v>142</v>
      </c>
      <c r="D17" s="65" t="s">
        <v>143</v>
      </c>
      <c r="E17" s="66" t="s">
        <v>141</v>
      </c>
      <c r="F17" s="67" t="s">
        <v>142</v>
      </c>
      <c r="G17" s="68" t="s">
        <v>143</v>
      </c>
      <c r="H17" s="65" t="s">
        <v>141</v>
      </c>
      <c r="I17" s="65" t="s">
        <v>142</v>
      </c>
      <c r="J17" s="69" t="s">
        <v>143</v>
      </c>
      <c r="K17" s="64" t="s">
        <v>141</v>
      </c>
      <c r="L17" s="65" t="s">
        <v>142</v>
      </c>
      <c r="M17" s="69" t="s">
        <v>143</v>
      </c>
      <c r="N17" s="64" t="s">
        <v>141</v>
      </c>
      <c r="O17" s="65" t="s">
        <v>142</v>
      </c>
      <c r="P17" s="69" t="s">
        <v>143</v>
      </c>
      <c r="Q17" s="64" t="s">
        <v>141</v>
      </c>
      <c r="R17" s="65" t="s">
        <v>142</v>
      </c>
      <c r="S17" s="69" t="s">
        <v>143</v>
      </c>
      <c r="T17" s="70"/>
      <c r="U17" s="1">
        <v>12</v>
      </c>
      <c r="V17" s="45">
        <f t="shared" si="0"/>
        <v>18.999858724845584</v>
      </c>
      <c r="W17" s="45">
        <f t="shared" si="1"/>
        <v>20.899842507345902</v>
      </c>
      <c r="X17" s="45">
        <f t="shared" si="2"/>
        <v>22.989826758080483</v>
      </c>
      <c r="Y17" s="45">
        <f t="shared" si="3"/>
        <v>25.288809433888535</v>
      </c>
      <c r="Z17" s="45">
        <f t="shared" si="4"/>
        <v>27.817690377277398</v>
      </c>
      <c r="AA17" s="45">
        <f t="shared" si="5"/>
        <v>30.599459415005132</v>
      </c>
    </row>
    <row r="18" spans="1:27" x14ac:dyDescent="0.2">
      <c r="A18" s="71" t="s">
        <v>144</v>
      </c>
      <c r="B18" s="72">
        <f>H6</f>
        <v>14.127456769888392</v>
      </c>
      <c r="C18" s="72">
        <f>MEDIAN(B18,D18)</f>
        <v>14.670591260236991</v>
      </c>
      <c r="D18" s="72">
        <f>B18*((1.025)^3)</f>
        <v>15.21372575058559</v>
      </c>
      <c r="E18" s="73">
        <f>I6</f>
        <v>15.540200892857143</v>
      </c>
      <c r="F18" s="72">
        <f>MEDIAN(E18,G18)</f>
        <v>16.137648772495815</v>
      </c>
      <c r="G18" s="74">
        <f>E18*((1.025)^3)</f>
        <v>16.735096652134484</v>
      </c>
      <c r="H18" s="72">
        <f>K6</f>
        <v>17.094220982142858</v>
      </c>
      <c r="I18" s="72">
        <f>MEDIAN(H18,J18)</f>
        <v>17.751413649745395</v>
      </c>
      <c r="J18" s="74">
        <f>H18*((1.025)^3)</f>
        <v>18.408606317347935</v>
      </c>
      <c r="K18" s="73">
        <f>M6</f>
        <v>18.803643080357144</v>
      </c>
      <c r="L18" s="72">
        <f>MEDIAN(K18,M18)</f>
        <v>19.526555014719936</v>
      </c>
      <c r="M18" s="74">
        <f>K18*((1.025)^3)</f>
        <v>20.249466949082727</v>
      </c>
      <c r="N18" s="73">
        <f>N6</f>
        <v>20.68400738839286</v>
      </c>
      <c r="O18" s="72">
        <f>MEDIAN(N18,P18)</f>
        <v>21.479210516191934</v>
      </c>
      <c r="P18" s="74">
        <f>N18*((1.025)^3)</f>
        <v>22.274413643991004</v>
      </c>
      <c r="Q18" s="73">
        <f>O6</f>
        <v>22.752408127232147</v>
      </c>
      <c r="R18" s="72">
        <f>MEDIAN(Q18,S18)</f>
        <v>23.627131567811126</v>
      </c>
      <c r="S18" s="74">
        <f>Q18*((1.025)^3)</f>
        <v>24.501855008390105</v>
      </c>
      <c r="T18" s="72"/>
      <c r="U18" s="1">
        <v>13</v>
      </c>
      <c r="V18" s="45">
        <f t="shared" si="0"/>
        <v>19.474855192966722</v>
      </c>
      <c r="W18" s="45">
        <f t="shared" si="1"/>
        <v>21.422338570029549</v>
      </c>
      <c r="X18" s="45">
        <f t="shared" si="2"/>
        <v>23.564572427032491</v>
      </c>
      <c r="Y18" s="45">
        <f t="shared" si="3"/>
        <v>25.921029669735745</v>
      </c>
      <c r="Z18" s="45">
        <f t="shared" si="4"/>
        <v>28.513132636709329</v>
      </c>
      <c r="AA18" s="45">
        <f t="shared" si="5"/>
        <v>31.364445900380257</v>
      </c>
    </row>
    <row r="19" spans="1:27" x14ac:dyDescent="0.2">
      <c r="A19" s="75" t="s">
        <v>145</v>
      </c>
      <c r="B19" s="72">
        <f>B18*((1.025)^4)</f>
        <v>15.594068894350228</v>
      </c>
      <c r="C19" s="72">
        <f t="shared" ref="C19:C23" si="8">MEDIAN(B19,D19)</f>
        <v>15.988793763238466</v>
      </c>
      <c r="D19" s="72">
        <f>B18*((1.025)^6)</f>
        <v>16.383518632126705</v>
      </c>
      <c r="E19" s="73">
        <f>E18*((1.025)^4)</f>
        <v>17.153474068437845</v>
      </c>
      <c r="F19" s="72">
        <f t="shared" ref="F19:F23" si="9">MEDIAN(E19,G19)</f>
        <v>17.587671380795179</v>
      </c>
      <c r="G19" s="74">
        <f>E18*((1.025)^6)</f>
        <v>18.021868693152509</v>
      </c>
      <c r="H19" s="72">
        <f>H18*((1.025)^4)</f>
        <v>18.868821475281631</v>
      </c>
      <c r="I19" s="72">
        <f t="shared" ref="I19:I23" si="10">MEDIAN(H19,J19)</f>
        <v>19.346438518874695</v>
      </c>
      <c r="J19" s="74">
        <f>H18*((1.025)^6)</f>
        <v>19.824055562467759</v>
      </c>
      <c r="K19" s="73">
        <f>K18*((1.025)^4)</f>
        <v>20.755703622809794</v>
      </c>
      <c r="L19" s="72">
        <f t="shared" ref="L19:L23" si="11">MEDIAN(K19,M19)</f>
        <v>21.281082370762164</v>
      </c>
      <c r="M19" s="74">
        <f>K18*((1.025)^6)</f>
        <v>21.806461118714537</v>
      </c>
      <c r="N19" s="73">
        <f>N18*((1.025)^4)</f>
        <v>22.831273985090775</v>
      </c>
      <c r="O19" s="72">
        <f t="shared" ref="O19:O23" si="12">MEDIAN(N19,P19)</f>
        <v>23.409190607838383</v>
      </c>
      <c r="P19" s="74">
        <f>N18*((1.025)^6)</f>
        <v>23.987107230585991</v>
      </c>
      <c r="Q19" s="73">
        <f>Q18*((1.025)^4)</f>
        <v>25.114401383599855</v>
      </c>
      <c r="R19" s="72">
        <f t="shared" ref="R19:R23" si="13">MEDIAN(Q19,S19)</f>
        <v>25.750109668622223</v>
      </c>
      <c r="S19" s="74">
        <f>Q18*((1.025)^6)</f>
        <v>26.385817953644594</v>
      </c>
      <c r="T19" s="72"/>
      <c r="U19" s="1">
        <v>14</v>
      </c>
      <c r="V19" s="45">
        <f t="shared" si="0"/>
        <v>19.961726572790887</v>
      </c>
      <c r="W19" s="45">
        <f t="shared" si="1"/>
        <v>21.957897034280286</v>
      </c>
      <c r="X19" s="45">
        <f t="shared" si="2"/>
        <v>24.153686737708302</v>
      </c>
      <c r="Y19" s="45">
        <f t="shared" si="3"/>
        <v>26.569055411479138</v>
      </c>
      <c r="Z19" s="45">
        <f t="shared" si="4"/>
        <v>29.225960952627059</v>
      </c>
      <c r="AA19" s="45">
        <f t="shared" si="5"/>
        <v>32.14855704788976</v>
      </c>
    </row>
    <row r="20" spans="1:27" x14ac:dyDescent="0.2">
      <c r="A20" s="75" t="s">
        <v>146</v>
      </c>
      <c r="B20" s="72">
        <f>B18*((1.025)^7)</f>
        <v>16.793106597929874</v>
      </c>
      <c r="C20" s="72">
        <f t="shared" si="8"/>
        <v>17.218182108689973</v>
      </c>
      <c r="D20" s="72">
        <f>B18*((1.025)^9)</f>
        <v>17.643257619450068</v>
      </c>
      <c r="E20" s="73">
        <f>E18*((1.025)^7)</f>
        <v>18.472415410481322</v>
      </c>
      <c r="F20" s="72">
        <f t="shared" si="9"/>
        <v>18.939998425559128</v>
      </c>
      <c r="G20" s="74">
        <f>E18*((1.025)^9)</f>
        <v>19.407581440636935</v>
      </c>
      <c r="H20" s="72">
        <f>H18*((1.025)^7)</f>
        <v>20.319656951529453</v>
      </c>
      <c r="I20" s="72">
        <f t="shared" si="10"/>
        <v>20.833998268115039</v>
      </c>
      <c r="J20" s="74">
        <f>H18*((1.025)^9)</f>
        <v>21.348339584700629</v>
      </c>
      <c r="K20" s="73">
        <f>K18*((1.025)^7)</f>
        <v>22.351622646682401</v>
      </c>
      <c r="L20" s="72">
        <f t="shared" si="11"/>
        <v>22.917398094926547</v>
      </c>
      <c r="M20" s="74">
        <f>K18*((1.025)^9)</f>
        <v>23.48317354317069</v>
      </c>
      <c r="N20" s="73">
        <f>N18*((1.025)^7)</f>
        <v>24.586784911350644</v>
      </c>
      <c r="O20" s="72">
        <f t="shared" si="12"/>
        <v>25.209137904419201</v>
      </c>
      <c r="P20" s="74">
        <f>N18*((1.025)^9)</f>
        <v>25.831490897487761</v>
      </c>
      <c r="Q20" s="73">
        <f>Q18*((1.025)^7)</f>
        <v>27.045463402485709</v>
      </c>
      <c r="R20" s="72">
        <f t="shared" si="13"/>
        <v>27.730051694861125</v>
      </c>
      <c r="S20" s="74">
        <f>Q18*((1.025)^9)</f>
        <v>28.414639987236541</v>
      </c>
      <c r="T20" s="72"/>
      <c r="U20" s="1">
        <v>15</v>
      </c>
      <c r="V20" s="45">
        <f t="shared" si="0"/>
        <v>20.460769737110656</v>
      </c>
      <c r="W20" s="45">
        <f t="shared" si="1"/>
        <v>22.506844460137291</v>
      </c>
      <c r="X20" s="45">
        <f t="shared" si="2"/>
        <v>24.757528906151009</v>
      </c>
      <c r="Y20" s="45">
        <f t="shared" si="3"/>
        <v>27.233281796766114</v>
      </c>
      <c r="Z20" s="45">
        <f t="shared" si="4"/>
        <v>29.956609976442731</v>
      </c>
      <c r="AA20" s="45">
        <f t="shared" si="5"/>
        <v>32.952270974087</v>
      </c>
    </row>
    <row r="21" spans="1:27" x14ac:dyDescent="0.2">
      <c r="A21" s="75" t="s">
        <v>147</v>
      </c>
      <c r="B21" s="72">
        <f>B18*((1.025)^10)</f>
        <v>18.084339059936323</v>
      </c>
      <c r="C21" s="72">
        <f t="shared" si="8"/>
        <v>18.54209889239096</v>
      </c>
      <c r="D21" s="72">
        <f>B18*((1.025)^12)</f>
        <v>18.999858724845595</v>
      </c>
      <c r="E21" s="73">
        <f>E18*((1.025)^10)</f>
        <v>19.892770976652859</v>
      </c>
      <c r="F21" s="72">
        <f t="shared" si="9"/>
        <v>20.396306741999382</v>
      </c>
      <c r="G21" s="74">
        <f>E18*((1.025)^12)</f>
        <v>20.899842507345905</v>
      </c>
      <c r="H21" s="72">
        <f>H18*((1.025)^10)</f>
        <v>21.882048074318142</v>
      </c>
      <c r="I21" s="72">
        <f t="shared" si="10"/>
        <v>22.435937416199319</v>
      </c>
      <c r="J21" s="74">
        <f>H18*((1.025)^12)</f>
        <v>22.989826758080497</v>
      </c>
      <c r="K21" s="73">
        <f>K18*((1.025)^10)</f>
        <v>24.070252881749958</v>
      </c>
      <c r="L21" s="72">
        <f t="shared" si="11"/>
        <v>24.679531157819255</v>
      </c>
      <c r="M21" s="74">
        <f>K18*((1.025)^12)</f>
        <v>25.288809433888549</v>
      </c>
      <c r="N21" s="73">
        <f>N18*((1.025)^10)</f>
        <v>26.477278169924958</v>
      </c>
      <c r="O21" s="72">
        <f t="shared" si="12"/>
        <v>27.147484273601179</v>
      </c>
      <c r="P21" s="74">
        <f>N18*((1.025)^12)</f>
        <v>27.817690377277405</v>
      </c>
      <c r="Q21" s="73">
        <f>Q18*((1.025)^10)</f>
        <v>29.125005986917454</v>
      </c>
      <c r="R21" s="72">
        <f t="shared" si="13"/>
        <v>29.8622327009613</v>
      </c>
      <c r="S21" s="74">
        <f>Q18*((1.025)^12)</f>
        <v>30.599459415005146</v>
      </c>
      <c r="T21" s="72"/>
      <c r="U21" s="1">
        <v>16</v>
      </c>
      <c r="V21" s="45">
        <f t="shared" si="0"/>
        <v>20.972288980538419</v>
      </c>
      <c r="W21" s="45">
        <f t="shared" si="1"/>
        <v>23.069515571640721</v>
      </c>
      <c r="X21" s="45">
        <f t="shared" si="2"/>
        <v>25.376467128804784</v>
      </c>
      <c r="Y21" s="45">
        <f t="shared" si="3"/>
        <v>27.914113841685264</v>
      </c>
      <c r="Z21" s="45">
        <f t="shared" si="4"/>
        <v>30.705525225853798</v>
      </c>
      <c r="AA21" s="45">
        <f t="shared" si="5"/>
        <v>33.776077748439171</v>
      </c>
    </row>
    <row r="22" spans="1:27" x14ac:dyDescent="0.2">
      <c r="A22" s="75" t="s">
        <v>148</v>
      </c>
      <c r="B22" s="72">
        <f>B18*((1.025)^13)</f>
        <v>19.474855192966736</v>
      </c>
      <c r="C22" s="72">
        <f t="shared" si="8"/>
        <v>19.967812465038705</v>
      </c>
      <c r="D22" s="72">
        <f>B18*((1.025)^15)</f>
        <v>20.460769737110677</v>
      </c>
      <c r="E22" s="73">
        <f>E18*((1.025)^13)</f>
        <v>21.422338570029552</v>
      </c>
      <c r="F22" s="72">
        <f t="shared" si="9"/>
        <v>21.964591515083427</v>
      </c>
      <c r="G22" s="74">
        <f>E18*((1.025)^15)</f>
        <v>22.506844460137302</v>
      </c>
      <c r="H22" s="72">
        <f>H18*((1.025)^13)</f>
        <v>23.564572427032509</v>
      </c>
      <c r="I22" s="72">
        <f t="shared" si="10"/>
        <v>24.16105066659177</v>
      </c>
      <c r="J22" s="74">
        <f>H18*((1.025)^15)</f>
        <v>24.75752890615103</v>
      </c>
      <c r="K22" s="73">
        <f>K18*((1.025)^13)</f>
        <v>25.921029669735759</v>
      </c>
      <c r="L22" s="72">
        <f t="shared" si="11"/>
        <v>26.577155733250947</v>
      </c>
      <c r="M22" s="74">
        <f>K18*((1.025)^15)</f>
        <v>27.233281796766136</v>
      </c>
      <c r="N22" s="73">
        <f>N18*((1.025)^13)</f>
        <v>28.51313263670934</v>
      </c>
      <c r="O22" s="72">
        <f t="shared" si="12"/>
        <v>29.234871306576046</v>
      </c>
      <c r="P22" s="74">
        <f>N18*((1.025)^15)</f>
        <v>29.956609976442749</v>
      </c>
      <c r="Q22" s="73">
        <f>Q18*((1.025)^13)</f>
        <v>31.364445900380275</v>
      </c>
      <c r="R22" s="72">
        <f t="shared" si="13"/>
        <v>32.158358437233652</v>
      </c>
      <c r="S22" s="74">
        <f>Q18*((1.025)^15)</f>
        <v>32.952270974087028</v>
      </c>
      <c r="T22" s="72"/>
      <c r="U22" s="1">
        <v>17</v>
      </c>
      <c r="V22" s="45">
        <f t="shared" si="0"/>
        <v>21.496596205051876</v>
      </c>
      <c r="W22" s="45">
        <f t="shared" si="1"/>
        <v>23.646253460931739</v>
      </c>
      <c r="X22" s="45">
        <f t="shared" si="2"/>
        <v>26.010878807024902</v>
      </c>
      <c r="Y22" s="45">
        <f t="shared" si="3"/>
        <v>28.611966687727392</v>
      </c>
      <c r="Z22" s="45">
        <f t="shared" si="4"/>
        <v>31.473163356500141</v>
      </c>
      <c r="AA22" s="45">
        <f t="shared" si="5"/>
        <v>34.620479692150148</v>
      </c>
    </row>
    <row r="23" spans="1:27" x14ac:dyDescent="0.2">
      <c r="A23" s="75" t="s">
        <v>149</v>
      </c>
      <c r="B23" s="72">
        <f>B18*((1.025)^16)</f>
        <v>20.97228898053844</v>
      </c>
      <c r="C23" s="72">
        <f t="shared" si="8"/>
        <v>22.060885951584702</v>
      </c>
      <c r="D23" s="72">
        <f>B18*((1.025)^20)</f>
        <v>23.149482922630966</v>
      </c>
      <c r="E23" s="73">
        <f>E18*((1.025)^16)</f>
        <v>23.069515571640732</v>
      </c>
      <c r="F23" s="72">
        <f t="shared" si="9"/>
        <v>24.266972120045963</v>
      </c>
      <c r="G23" s="74">
        <f>E18*((1.025)^20)</f>
        <v>25.464428668451198</v>
      </c>
      <c r="H23" s="73">
        <f>H18*((1.025)^16)</f>
        <v>25.376467128804805</v>
      </c>
      <c r="I23" s="72">
        <f t="shared" si="10"/>
        <v>26.693669332050561</v>
      </c>
      <c r="J23" s="74">
        <f>H18*((1.025)^20)</f>
        <v>28.010871535296317</v>
      </c>
      <c r="K23" s="72">
        <f>K18*((1.025)^16)</f>
        <v>27.914113841685285</v>
      </c>
      <c r="L23" s="72">
        <f t="shared" si="11"/>
        <v>29.363036265255619</v>
      </c>
      <c r="M23" s="74">
        <f>K18*((1.025)^20)</f>
        <v>30.811958688825953</v>
      </c>
      <c r="N23" s="72">
        <f>N18*((1.025)^16)</f>
        <v>30.705525225853815</v>
      </c>
      <c r="O23" s="72">
        <f t="shared" si="12"/>
        <v>32.29933989178118</v>
      </c>
      <c r="P23" s="72">
        <f>N18*((1.025)^20)</f>
        <v>33.893154557708549</v>
      </c>
      <c r="Q23" s="73">
        <f>Q18*((1.025)^16)</f>
        <v>33.776077748439199</v>
      </c>
      <c r="R23" s="72">
        <f t="shared" si="13"/>
        <v>35.529273880959302</v>
      </c>
      <c r="S23" s="74">
        <f>Q18*((1.025)^20)</f>
        <v>37.282470013479404</v>
      </c>
      <c r="T23" s="72"/>
      <c r="U23" s="1">
        <v>18</v>
      </c>
      <c r="V23" s="45">
        <f t="shared" si="0"/>
        <v>22.03401111017817</v>
      </c>
      <c r="W23" s="45">
        <f t="shared" si="1"/>
        <v>24.23740979745503</v>
      </c>
      <c r="X23" s="45">
        <f t="shared" si="2"/>
        <v>26.661150777200522</v>
      </c>
      <c r="Y23" s="45">
        <f t="shared" si="3"/>
        <v>29.327265854920576</v>
      </c>
      <c r="Z23" s="45">
        <f t="shared" si="4"/>
        <v>32.259992440412638</v>
      </c>
      <c r="AA23" s="45">
        <f t="shared" si="5"/>
        <v>35.4859916844539</v>
      </c>
    </row>
    <row r="24" spans="1:27" ht="15" x14ac:dyDescent="0.25">
      <c r="A24" s="43"/>
      <c r="B24" s="35"/>
      <c r="C24" s="45"/>
      <c r="D24" s="35"/>
      <c r="E24" s="80"/>
      <c r="F24" s="80"/>
      <c r="G24" s="80"/>
      <c r="H24" s="80"/>
      <c r="I24" s="72"/>
      <c r="J24" s="72"/>
      <c r="M24" s="39"/>
      <c r="P24" s="1"/>
      <c r="U24" s="1">
        <v>19</v>
      </c>
      <c r="V24" s="45">
        <f t="shared" si="0"/>
        <v>22.584861387932623</v>
      </c>
      <c r="W24" s="45">
        <f t="shared" si="1"/>
        <v>24.843345042391402</v>
      </c>
      <c r="X24" s="45">
        <f t="shared" si="2"/>
        <v>27.327679546630531</v>
      </c>
      <c r="Y24" s="45">
        <f t="shared" si="3"/>
        <v>30.060447501293588</v>
      </c>
      <c r="Z24" s="45">
        <f t="shared" si="4"/>
        <v>33.06649225142295</v>
      </c>
      <c r="AA24" s="45">
        <f t="shared" si="5"/>
        <v>36.373141476565245</v>
      </c>
    </row>
    <row r="25" spans="1:27" ht="15" x14ac:dyDescent="0.25">
      <c r="A25" s="43"/>
      <c r="B25" s="35"/>
      <c r="C25" s="45"/>
      <c r="D25" s="35"/>
      <c r="E25" s="80"/>
      <c r="F25" s="80"/>
      <c r="G25" s="80"/>
      <c r="H25" s="80"/>
      <c r="I25" s="72"/>
      <c r="J25" s="72"/>
      <c r="M25" s="39"/>
      <c r="P25" s="1"/>
      <c r="U25" s="1">
        <v>20</v>
      </c>
      <c r="V25" s="45">
        <f t="shared" si="0"/>
        <v>23.149482922630938</v>
      </c>
      <c r="W25" s="45">
        <f t="shared" si="1"/>
        <v>25.464428668451184</v>
      </c>
      <c r="X25" s="45">
        <f t="shared" si="2"/>
        <v>28.010871535296292</v>
      </c>
      <c r="Y25" s="45">
        <f t="shared" si="3"/>
        <v>30.811958688825925</v>
      </c>
      <c r="Z25" s="45">
        <f t="shared" si="4"/>
        <v>33.89315455770852</v>
      </c>
      <c r="AA25" s="45">
        <f t="shared" si="5"/>
        <v>37.282470013479376</v>
      </c>
    </row>
    <row r="26" spans="1:27" ht="15" x14ac:dyDescent="0.25">
      <c r="A26" s="43"/>
      <c r="B26" s="35"/>
      <c r="C26" s="45"/>
      <c r="D26" s="35"/>
      <c r="E26" s="80"/>
      <c r="F26" s="80"/>
      <c r="G26" s="80"/>
      <c r="H26" s="80"/>
      <c r="I26" s="72"/>
      <c r="J26" s="72"/>
      <c r="M26" s="39"/>
      <c r="P26" s="1"/>
      <c r="V26" s="45"/>
      <c r="W26" s="45"/>
      <c r="X26" s="45"/>
    </row>
    <row r="27" spans="1:27" x14ac:dyDescent="0.2">
      <c r="O27" s="39"/>
      <c r="P27" s="1"/>
      <c r="U27" s="45"/>
    </row>
    <row r="28" spans="1:27" ht="16.5" thickBot="1" x14ac:dyDescent="0.3">
      <c r="A28" s="28" t="s">
        <v>281</v>
      </c>
      <c r="B28" s="28"/>
      <c r="C28" s="28"/>
      <c r="D28" s="28"/>
      <c r="E28" s="28"/>
      <c r="F28" s="28"/>
      <c r="G28" s="28"/>
      <c r="H28" s="28"/>
      <c r="I28" s="28"/>
      <c r="J28" s="28"/>
      <c r="K28" s="28"/>
      <c r="L28" s="28"/>
      <c r="M28" s="28"/>
      <c r="N28" s="28"/>
      <c r="O28" s="28"/>
      <c r="P28" s="28"/>
      <c r="Q28" s="28"/>
      <c r="R28" s="28"/>
      <c r="S28" s="28"/>
      <c r="V28" s="273" t="s">
        <v>279</v>
      </c>
      <c r="W28" s="273"/>
      <c r="X28" s="273"/>
      <c r="Y28" s="273"/>
      <c r="Z28" s="273"/>
      <c r="AA28" s="273"/>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1" t="s">
        <v>130</v>
      </c>
      <c r="V29" s="43" t="s">
        <v>131</v>
      </c>
      <c r="W29" s="43" t="s">
        <v>48</v>
      </c>
      <c r="X29" s="43" t="s">
        <v>50</v>
      </c>
      <c r="Y29" s="43" t="s">
        <v>132</v>
      </c>
      <c r="Z29" s="43" t="s">
        <v>133</v>
      </c>
      <c r="AA29" s="43"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45">
        <f>H8</f>
        <v>12.843142518080356</v>
      </c>
      <c r="W30" s="45">
        <f>I8</f>
        <v>14.127455357142855</v>
      </c>
      <c r="X30" s="45">
        <f>K8</f>
        <v>15.540200892857142</v>
      </c>
      <c r="Y30" s="45">
        <f>M8</f>
        <v>17.094220982142858</v>
      </c>
      <c r="Z30" s="45">
        <f>N8</f>
        <v>18.803643080357144</v>
      </c>
      <c r="AA30" s="45">
        <f>O8</f>
        <v>20.68400738839286</v>
      </c>
    </row>
    <row r="31" spans="1:27" ht="15" thickBot="1" x14ac:dyDescent="0.25">
      <c r="A31" s="276"/>
      <c r="B31" s="64" t="s">
        <v>141</v>
      </c>
      <c r="C31" s="65" t="s">
        <v>142</v>
      </c>
      <c r="D31" s="69" t="s">
        <v>143</v>
      </c>
      <c r="E31" s="67" t="s">
        <v>141</v>
      </c>
      <c r="F31" s="67" t="s">
        <v>142</v>
      </c>
      <c r="G31" s="67" t="s">
        <v>143</v>
      </c>
      <c r="H31" s="64" t="s">
        <v>141</v>
      </c>
      <c r="I31" s="65" t="s">
        <v>142</v>
      </c>
      <c r="J31" s="69" t="s">
        <v>143</v>
      </c>
      <c r="K31" s="64" t="s">
        <v>141</v>
      </c>
      <c r="L31" s="65" t="s">
        <v>142</v>
      </c>
      <c r="M31" s="69" t="s">
        <v>143</v>
      </c>
      <c r="N31" s="64" t="s">
        <v>141</v>
      </c>
      <c r="O31" s="65" t="s">
        <v>142</v>
      </c>
      <c r="P31" s="69" t="s">
        <v>143</v>
      </c>
      <c r="Q31" s="64" t="s">
        <v>141</v>
      </c>
      <c r="R31" s="65" t="s">
        <v>142</v>
      </c>
      <c r="S31" s="69" t="s">
        <v>143</v>
      </c>
      <c r="U31" s="1">
        <v>1</v>
      </c>
      <c r="V31" s="45">
        <f t="shared" ref="V31:V50" si="14">V30*1.025</f>
        <v>13.164221081032364</v>
      </c>
      <c r="W31" s="45">
        <f t="shared" ref="W31:W50" si="15">W30*1.025</f>
        <v>14.480641741071425</v>
      </c>
      <c r="X31" s="45">
        <f t="shared" ref="X31:X50" si="16">X30*1.025</f>
        <v>15.928705915178568</v>
      </c>
      <c r="Y31" s="45">
        <f t="shared" ref="Y31:Y50" si="17">Y30*1.025</f>
        <v>17.521576506696427</v>
      </c>
      <c r="Z31" s="45">
        <f t="shared" ref="Z31:Z50" si="18">Z30*1.025</f>
        <v>19.273734157366071</v>
      </c>
      <c r="AA31" s="45">
        <f t="shared" ref="AA31:AA50" si="19">AA30*1.025</f>
        <v>21.201107573102679</v>
      </c>
    </row>
    <row r="32" spans="1:27" x14ac:dyDescent="0.2">
      <c r="A32" s="71" t="s">
        <v>144</v>
      </c>
      <c r="B32" s="72">
        <f>F8</f>
        <v>12.843142518080356</v>
      </c>
      <c r="C32" s="72">
        <f>MEDIAN(B32,D32)</f>
        <v>13.336901145669991</v>
      </c>
      <c r="D32" s="74">
        <f>B32*((1.025)^3)</f>
        <v>13.830659773259626</v>
      </c>
      <c r="E32" s="72">
        <f>I8</f>
        <v>14.127455357142855</v>
      </c>
      <c r="F32" s="72">
        <f>MEDIAN(E32,G32)</f>
        <v>14.67058979317801</v>
      </c>
      <c r="G32" s="72">
        <f>E32*((1.025)^3)</f>
        <v>15.213724229213165</v>
      </c>
      <c r="H32" s="73">
        <f>K8</f>
        <v>15.540200892857142</v>
      </c>
      <c r="I32" s="72">
        <f>MEDIAN(H32,J32)</f>
        <v>16.137648772495812</v>
      </c>
      <c r="J32" s="74">
        <f>H32*((1.025)^3)</f>
        <v>16.735096652134484</v>
      </c>
      <c r="K32" s="73">
        <f>M8</f>
        <v>17.094220982142858</v>
      </c>
      <c r="L32" s="72">
        <f>MEDIAN(K32,M32)</f>
        <v>17.751413649745395</v>
      </c>
      <c r="M32" s="74">
        <f>K32*((1.025)^3)</f>
        <v>18.408606317347935</v>
      </c>
      <c r="N32" s="73">
        <f>N8</f>
        <v>18.803643080357144</v>
      </c>
      <c r="O32" s="72">
        <f>MEDIAN(N32,P32)</f>
        <v>19.526555014719936</v>
      </c>
      <c r="P32" s="74">
        <f>N32*((1.025)^3)</f>
        <v>20.249466949082727</v>
      </c>
      <c r="Q32" s="73">
        <f>O8</f>
        <v>20.68400738839286</v>
      </c>
      <c r="R32" s="72">
        <f>MEDIAN(Q32,S32)</f>
        <v>21.479210516191934</v>
      </c>
      <c r="S32" s="74">
        <f>Q32*((1.025)^3)</f>
        <v>22.274413643991004</v>
      </c>
      <c r="U32" s="1">
        <v>2</v>
      </c>
      <c r="V32" s="45">
        <f t="shared" si="14"/>
        <v>13.493326608058172</v>
      </c>
      <c r="W32" s="45">
        <f t="shared" si="15"/>
        <v>14.84265778459821</v>
      </c>
      <c r="X32" s="45">
        <f t="shared" si="16"/>
        <v>16.326923563058031</v>
      </c>
      <c r="Y32" s="45">
        <f t="shared" si="17"/>
        <v>17.959615919363834</v>
      </c>
      <c r="Z32" s="45">
        <f t="shared" si="18"/>
        <v>19.755577511300221</v>
      </c>
      <c r="AA32" s="45">
        <f t="shared" si="19"/>
        <v>21.731135262430243</v>
      </c>
    </row>
    <row r="33" spans="1:27" x14ac:dyDescent="0.2">
      <c r="A33" s="75" t="s">
        <v>145</v>
      </c>
      <c r="B33" s="72">
        <f>B32*((1.025)^4)</f>
        <v>14.176426267591117</v>
      </c>
      <c r="C33" s="72">
        <f t="shared" ref="C33:C37" si="20">MEDIAN(B33,D33)</f>
        <v>14.535267057489515</v>
      </c>
      <c r="D33" s="74">
        <f>B32*((1.025)^6)</f>
        <v>14.894107847387913</v>
      </c>
      <c r="E33" s="72">
        <f>E32*((1.025)^4)</f>
        <v>15.594067334943494</v>
      </c>
      <c r="F33" s="72">
        <f t="shared" ref="F33:F37" si="21">MEDIAN(E33,G33)</f>
        <v>15.98879216435925</v>
      </c>
      <c r="G33" s="72">
        <f>E32*((1.025)^6)</f>
        <v>16.383516993775004</v>
      </c>
      <c r="H33" s="73">
        <f>H32*((1.025)^4)</f>
        <v>17.153474068437845</v>
      </c>
      <c r="I33" s="72">
        <f t="shared" ref="I33:I37" si="22">MEDIAN(H33,J33)</f>
        <v>17.587671380795175</v>
      </c>
      <c r="J33" s="74">
        <f>H32*((1.025)^6)</f>
        <v>18.021868693152506</v>
      </c>
      <c r="K33" s="73">
        <f>K32*((1.025)^4)</f>
        <v>18.868821475281631</v>
      </c>
      <c r="L33" s="72">
        <f t="shared" ref="L33:L37" si="23">MEDIAN(K33,M33)</f>
        <v>19.346438518874695</v>
      </c>
      <c r="M33" s="74">
        <f>K32*((1.025)^6)</f>
        <v>19.824055562467759</v>
      </c>
      <c r="N33" s="73">
        <f>N32*((1.025)^4)</f>
        <v>20.755703622809794</v>
      </c>
      <c r="O33" s="72">
        <f t="shared" ref="O33:O37" si="24">MEDIAN(N33,P33)</f>
        <v>21.281082370762164</v>
      </c>
      <c r="P33" s="74">
        <f>N32*((1.025)^6)</f>
        <v>21.806461118714537</v>
      </c>
      <c r="Q33" s="73">
        <f>Q32*((1.025)^4)</f>
        <v>22.831273985090775</v>
      </c>
      <c r="R33" s="72">
        <f t="shared" ref="R33:R37" si="25">MEDIAN(Q33,S33)</f>
        <v>23.409190607838383</v>
      </c>
      <c r="S33" s="74">
        <f>Q32*((1.025)^6)</f>
        <v>23.987107230585991</v>
      </c>
      <c r="U33" s="1">
        <v>3</v>
      </c>
      <c r="V33" s="45">
        <f t="shared" si="14"/>
        <v>13.830659773259626</v>
      </c>
      <c r="W33" s="45">
        <f t="shared" si="15"/>
        <v>15.213724229213163</v>
      </c>
      <c r="X33" s="45">
        <f t="shared" si="16"/>
        <v>16.73509665213448</v>
      </c>
      <c r="Y33" s="45">
        <f t="shared" si="17"/>
        <v>18.408606317347928</v>
      </c>
      <c r="Z33" s="45">
        <f t="shared" si="18"/>
        <v>20.249466949082723</v>
      </c>
      <c r="AA33" s="45">
        <f t="shared" si="19"/>
        <v>22.274413643990997</v>
      </c>
    </row>
    <row r="34" spans="1:27" x14ac:dyDescent="0.2">
      <c r="A34" s="75" t="s">
        <v>146</v>
      </c>
      <c r="B34" s="72">
        <f>B32*((1.025)^7)</f>
        <v>15.266460543572611</v>
      </c>
      <c r="C34" s="72">
        <f t="shared" si="20"/>
        <v>15.652892826081793</v>
      </c>
      <c r="D34" s="74">
        <f>B32*((1.025)^9)</f>
        <v>16.039325108590972</v>
      </c>
      <c r="E34" s="72">
        <f>E32*((1.025)^7)</f>
        <v>16.793104918619381</v>
      </c>
      <c r="F34" s="72">
        <f t="shared" si="21"/>
        <v>17.218180386871932</v>
      </c>
      <c r="G34" s="72">
        <f>E32*((1.025)^9)</f>
        <v>17.643255855124483</v>
      </c>
      <c r="H34" s="73">
        <f>H32*((1.025)^7)</f>
        <v>18.472415410481322</v>
      </c>
      <c r="I34" s="72">
        <f t="shared" si="22"/>
        <v>18.939998425559125</v>
      </c>
      <c r="J34" s="74">
        <f>H32*((1.025)^9)</f>
        <v>19.407581440636932</v>
      </c>
      <c r="K34" s="73">
        <f>K32*((1.025)^7)</f>
        <v>20.319656951529453</v>
      </c>
      <c r="L34" s="72">
        <f t="shared" si="23"/>
        <v>20.833998268115039</v>
      </c>
      <c r="M34" s="74">
        <f>K32*((1.025)^9)</f>
        <v>21.348339584700629</v>
      </c>
      <c r="N34" s="73">
        <f>N32*((1.025)^7)</f>
        <v>22.351622646682401</v>
      </c>
      <c r="O34" s="72">
        <f t="shared" si="24"/>
        <v>22.917398094926547</v>
      </c>
      <c r="P34" s="74">
        <f>N32*((1.025)^9)</f>
        <v>23.48317354317069</v>
      </c>
      <c r="Q34" s="73">
        <f>Q32*((1.025)^7)</f>
        <v>24.586784911350644</v>
      </c>
      <c r="R34" s="72">
        <f t="shared" si="25"/>
        <v>25.209137904419201</v>
      </c>
      <c r="S34" s="74">
        <f>Q32*((1.025)^9)</f>
        <v>25.831490897487761</v>
      </c>
      <c r="U34" s="1">
        <v>4</v>
      </c>
      <c r="V34" s="45">
        <f t="shared" si="14"/>
        <v>14.176426267591115</v>
      </c>
      <c r="W34" s="45">
        <f t="shared" si="15"/>
        <v>15.594067334943491</v>
      </c>
      <c r="X34" s="45">
        <f t="shared" si="16"/>
        <v>17.153474068437841</v>
      </c>
      <c r="Y34" s="45">
        <f t="shared" si="17"/>
        <v>18.868821475281624</v>
      </c>
      <c r="Z34" s="45">
        <f t="shared" si="18"/>
        <v>20.75570362280979</v>
      </c>
      <c r="AA34" s="45">
        <f t="shared" si="19"/>
        <v>22.831273985090771</v>
      </c>
    </row>
    <row r="35" spans="1:27" x14ac:dyDescent="0.2">
      <c r="A35" s="75" t="s">
        <v>147</v>
      </c>
      <c r="B35" s="72">
        <f>B32*((1.025)^10)</f>
        <v>16.440308236305746</v>
      </c>
      <c r="C35" s="72">
        <f t="shared" si="20"/>
        <v>16.856453538537234</v>
      </c>
      <c r="D35" s="74">
        <f>B32*((1.025)^12)</f>
        <v>17.272598840768723</v>
      </c>
      <c r="E35" s="72">
        <f>E32*((1.025)^10)</f>
        <v>18.084337251502596</v>
      </c>
      <c r="F35" s="72">
        <f t="shared" si="21"/>
        <v>18.542097038181254</v>
      </c>
      <c r="G35" s="72">
        <f>E32*((1.025)^12)</f>
        <v>18.999856824859911</v>
      </c>
      <c r="H35" s="73">
        <f>H32*((1.025)^10)</f>
        <v>19.892770976652855</v>
      </c>
      <c r="I35" s="72">
        <f t="shared" si="22"/>
        <v>20.396306741999382</v>
      </c>
      <c r="J35" s="74">
        <f>H32*((1.025)^12)</f>
        <v>20.899842507345905</v>
      </c>
      <c r="K35" s="73">
        <f>K32*((1.025)^10)</f>
        <v>21.882048074318142</v>
      </c>
      <c r="L35" s="72">
        <f t="shared" si="23"/>
        <v>22.435937416199319</v>
      </c>
      <c r="M35" s="74">
        <f>K32*((1.025)^12)</f>
        <v>22.989826758080497</v>
      </c>
      <c r="N35" s="73">
        <f>N32*((1.025)^10)</f>
        <v>24.070252881749958</v>
      </c>
      <c r="O35" s="72">
        <f t="shared" si="24"/>
        <v>24.679531157819255</v>
      </c>
      <c r="P35" s="74">
        <f>N32*((1.025)^12)</f>
        <v>25.288809433888549</v>
      </c>
      <c r="Q35" s="73">
        <f>Q32*((1.025)^10)</f>
        <v>26.477278169924958</v>
      </c>
      <c r="R35" s="72">
        <f t="shared" si="25"/>
        <v>27.147484273601179</v>
      </c>
      <c r="S35" s="74">
        <f>Q32*((1.025)^12)</f>
        <v>27.817690377277405</v>
      </c>
      <c r="U35" s="1">
        <v>5</v>
      </c>
      <c r="V35" s="45">
        <f t="shared" si="14"/>
        <v>14.530836924280891</v>
      </c>
      <c r="W35" s="45">
        <f t="shared" si="15"/>
        <v>15.983919018317076</v>
      </c>
      <c r="X35" s="45">
        <f t="shared" si="16"/>
        <v>17.582310920148785</v>
      </c>
      <c r="Y35" s="45">
        <f t="shared" si="17"/>
        <v>19.340542012163663</v>
      </c>
      <c r="Z35" s="45">
        <f t="shared" si="18"/>
        <v>21.274596213380033</v>
      </c>
      <c r="AA35" s="45">
        <f t="shared" si="19"/>
        <v>23.402055834718038</v>
      </c>
    </row>
    <row r="36" spans="1:27" x14ac:dyDescent="0.2">
      <c r="A36" s="75" t="s">
        <v>148</v>
      </c>
      <c r="B36" s="72">
        <f>B32*((1.025)^13)</f>
        <v>17.704413811787941</v>
      </c>
      <c r="C36" s="72">
        <f t="shared" si="20"/>
        <v>18.152556786398822</v>
      </c>
      <c r="D36" s="72">
        <f>B32*((1.025)^15)</f>
        <v>18.600699761009704</v>
      </c>
      <c r="E36" s="73">
        <f>E32*((1.025)^13)</f>
        <v>19.474853245481409</v>
      </c>
      <c r="F36" s="72">
        <f t="shared" si="21"/>
        <v>19.967810468257657</v>
      </c>
      <c r="G36" s="74">
        <f>E32*((1.025)^15)</f>
        <v>20.460767691033904</v>
      </c>
      <c r="H36" s="72">
        <f>H32*((1.025)^13)</f>
        <v>21.422338570029552</v>
      </c>
      <c r="I36" s="72">
        <f t="shared" si="22"/>
        <v>21.964591515083427</v>
      </c>
      <c r="J36" s="74">
        <f>H32*((1.025)^15)</f>
        <v>22.506844460137298</v>
      </c>
      <c r="K36" s="73">
        <f>K32*((1.025)^13)</f>
        <v>23.564572427032509</v>
      </c>
      <c r="L36" s="72">
        <f t="shared" si="23"/>
        <v>24.16105066659177</v>
      </c>
      <c r="M36" s="74">
        <f>K32*((1.025)^15)</f>
        <v>24.75752890615103</v>
      </c>
      <c r="N36" s="73">
        <f>N32*((1.025)^13)</f>
        <v>25.921029669735759</v>
      </c>
      <c r="O36" s="72">
        <f t="shared" si="24"/>
        <v>26.577155733250947</v>
      </c>
      <c r="P36" s="74">
        <f>N32*((1.025)^15)</f>
        <v>27.233281796766136</v>
      </c>
      <c r="Q36" s="73">
        <f>Q32*((1.025)^13)</f>
        <v>28.51313263670934</v>
      </c>
      <c r="R36" s="72">
        <f t="shared" si="25"/>
        <v>29.234871306576046</v>
      </c>
      <c r="S36" s="74">
        <f>Q32*((1.025)^15)</f>
        <v>29.956609976442749</v>
      </c>
      <c r="T36" s="45"/>
      <c r="U36" s="1">
        <v>6</v>
      </c>
      <c r="V36" s="45">
        <f t="shared" si="14"/>
        <v>14.894107847387911</v>
      </c>
      <c r="W36" s="45">
        <f t="shared" si="15"/>
        <v>16.383516993775</v>
      </c>
      <c r="X36" s="45">
        <f t="shared" si="16"/>
        <v>18.021868693152502</v>
      </c>
      <c r="Y36" s="45">
        <f t="shared" si="17"/>
        <v>19.824055562467752</v>
      </c>
      <c r="Z36" s="45">
        <f t="shared" si="18"/>
        <v>21.80646111871453</v>
      </c>
      <c r="AA36" s="45">
        <f t="shared" si="19"/>
        <v>23.987107230585988</v>
      </c>
    </row>
    <row r="37" spans="1:27" x14ac:dyDescent="0.2">
      <c r="A37" s="75" t="s">
        <v>149</v>
      </c>
      <c r="B37" s="72">
        <f>B32*((1.025)^16)</f>
        <v>19.065717255034947</v>
      </c>
      <c r="C37" s="72">
        <f t="shared" si="20"/>
        <v>20.055350865077003</v>
      </c>
      <c r="D37" s="72">
        <f>B32*((1.025)^20)</f>
        <v>21.044984475119058</v>
      </c>
      <c r="E37" s="73">
        <f>E32*((1.025)^16)</f>
        <v>20.972286883309753</v>
      </c>
      <c r="F37" s="72">
        <f t="shared" si="21"/>
        <v>22.060883745496326</v>
      </c>
      <c r="G37" s="74">
        <f>E32*((1.025)^20)</f>
        <v>23.149480607682904</v>
      </c>
      <c r="H37" s="73">
        <f>H32*((1.025)^16)</f>
        <v>23.069515571640729</v>
      </c>
      <c r="I37" s="72">
        <f t="shared" si="22"/>
        <v>24.266972120045963</v>
      </c>
      <c r="J37" s="74">
        <f>H32*((1.025)^20)</f>
        <v>25.464428668451195</v>
      </c>
      <c r="K37" s="72">
        <f>K32*((1.025)^16)</f>
        <v>25.376467128804805</v>
      </c>
      <c r="L37" s="72">
        <f t="shared" si="23"/>
        <v>26.693669332050561</v>
      </c>
      <c r="M37" s="74">
        <f>K32*((1.025)^20)</f>
        <v>28.010871535296317</v>
      </c>
      <c r="N37" s="72">
        <f>N32*((1.025)^16)</f>
        <v>27.914113841685285</v>
      </c>
      <c r="O37" s="72">
        <f t="shared" si="24"/>
        <v>29.363036265255619</v>
      </c>
      <c r="P37" s="72">
        <f>N32*((1.025)^20)</f>
        <v>30.811958688825953</v>
      </c>
      <c r="Q37" s="73">
        <f>Q32*((1.025)^16)</f>
        <v>30.705525225853815</v>
      </c>
      <c r="R37" s="72">
        <f t="shared" si="25"/>
        <v>32.29933989178118</v>
      </c>
      <c r="S37" s="74">
        <f>Q32*((1.025)^20)</f>
        <v>33.893154557708549</v>
      </c>
      <c r="U37" s="1">
        <v>7</v>
      </c>
      <c r="V37" s="45">
        <f t="shared" si="14"/>
        <v>15.266460543572608</v>
      </c>
      <c r="W37" s="45">
        <f t="shared" si="15"/>
        <v>16.793104918619374</v>
      </c>
      <c r="X37" s="45">
        <f t="shared" si="16"/>
        <v>18.472415410481315</v>
      </c>
      <c r="Y37" s="45">
        <f t="shared" si="17"/>
        <v>20.319656951529446</v>
      </c>
      <c r="Z37" s="45">
        <f t="shared" si="18"/>
        <v>22.35162264668239</v>
      </c>
      <c r="AA37" s="45">
        <f t="shared" si="19"/>
        <v>24.586784911350634</v>
      </c>
    </row>
    <row r="38" spans="1:27" ht="15" x14ac:dyDescent="0.25">
      <c r="A38" s="43"/>
      <c r="B38" s="35"/>
      <c r="C38" s="45"/>
      <c r="D38" s="35"/>
      <c r="E38" s="80"/>
      <c r="F38" s="80"/>
      <c r="G38" s="80"/>
      <c r="H38" s="80"/>
      <c r="I38" s="72"/>
      <c r="J38" s="72"/>
      <c r="M38" s="39"/>
      <c r="P38" s="1"/>
      <c r="U38" s="1">
        <v>8</v>
      </c>
      <c r="V38" s="45">
        <f t="shared" si="14"/>
        <v>15.648122057161922</v>
      </c>
      <c r="W38" s="45">
        <f t="shared" si="15"/>
        <v>17.212932541584856</v>
      </c>
      <c r="X38" s="45">
        <f t="shared" si="16"/>
        <v>18.934225795743345</v>
      </c>
      <c r="Y38" s="45">
        <f t="shared" si="17"/>
        <v>20.827648375317679</v>
      </c>
      <c r="Z38" s="45">
        <f t="shared" si="18"/>
        <v>22.910413212849448</v>
      </c>
      <c r="AA38" s="45">
        <f t="shared" si="19"/>
        <v>25.201454534134399</v>
      </c>
    </row>
    <row r="39" spans="1:27" x14ac:dyDescent="0.2">
      <c r="O39" s="39"/>
      <c r="P39" s="1"/>
      <c r="U39" s="1">
        <v>9</v>
      </c>
      <c r="V39" s="45">
        <f t="shared" si="14"/>
        <v>16.039325108590969</v>
      </c>
      <c r="W39" s="45">
        <f t="shared" si="15"/>
        <v>17.643255855124476</v>
      </c>
      <c r="X39" s="45">
        <f t="shared" si="16"/>
        <v>19.407581440636928</v>
      </c>
      <c r="Y39" s="45">
        <f t="shared" si="17"/>
        <v>21.348339584700618</v>
      </c>
      <c r="Z39" s="45">
        <f t="shared" si="18"/>
        <v>23.483173543170683</v>
      </c>
      <c r="AA39" s="45">
        <f t="shared" si="19"/>
        <v>25.831490897487758</v>
      </c>
    </row>
    <row r="40" spans="1:27" x14ac:dyDescent="0.2">
      <c r="U40" s="1">
        <v>10</v>
      </c>
      <c r="V40" s="45">
        <f t="shared" si="14"/>
        <v>16.440308236305743</v>
      </c>
      <c r="W40" s="45">
        <f t="shared" si="15"/>
        <v>18.084337251502586</v>
      </c>
      <c r="X40" s="45">
        <f t="shared" si="16"/>
        <v>19.892770976652848</v>
      </c>
      <c r="Y40" s="45">
        <f t="shared" si="17"/>
        <v>21.882048074318131</v>
      </c>
      <c r="Z40" s="45">
        <f t="shared" si="18"/>
        <v>24.070252881749948</v>
      </c>
      <c r="AA40" s="45">
        <f t="shared" si="19"/>
        <v>26.477278169924951</v>
      </c>
    </row>
    <row r="41" spans="1:27" x14ac:dyDescent="0.2">
      <c r="U41" s="1">
        <v>11</v>
      </c>
      <c r="V41" s="45">
        <f t="shared" si="14"/>
        <v>16.851315942213386</v>
      </c>
      <c r="W41" s="45">
        <f t="shared" si="15"/>
        <v>18.536445682790148</v>
      </c>
      <c r="X41" s="45">
        <f t="shared" si="16"/>
        <v>20.390090251069168</v>
      </c>
      <c r="Y41" s="45">
        <f t="shared" si="17"/>
        <v>22.429099276176082</v>
      </c>
      <c r="Z41" s="45">
        <f t="shared" si="18"/>
        <v>24.672009203793696</v>
      </c>
      <c r="AA41" s="45">
        <f t="shared" si="19"/>
        <v>27.139210124173072</v>
      </c>
    </row>
    <row r="42" spans="1:27" x14ac:dyDescent="0.2">
      <c r="D42" s="82"/>
      <c r="U42" s="1">
        <v>12</v>
      </c>
      <c r="V42" s="45">
        <f t="shared" si="14"/>
        <v>17.272598840768719</v>
      </c>
      <c r="W42" s="45">
        <f t="shared" si="15"/>
        <v>18.999856824859901</v>
      </c>
      <c r="X42" s="45">
        <f t="shared" si="16"/>
        <v>20.899842507345895</v>
      </c>
      <c r="Y42" s="45">
        <f t="shared" si="17"/>
        <v>22.989826758080483</v>
      </c>
      <c r="Z42" s="45">
        <f t="shared" si="18"/>
        <v>25.288809433888535</v>
      </c>
      <c r="AA42" s="45">
        <f t="shared" si="19"/>
        <v>27.817690377277398</v>
      </c>
    </row>
    <row r="43" spans="1:27" x14ac:dyDescent="0.2">
      <c r="D43" s="82"/>
      <c r="G43" s="34"/>
      <c r="U43" s="1">
        <v>13</v>
      </c>
      <c r="V43" s="45">
        <f t="shared" si="14"/>
        <v>17.704413811787937</v>
      </c>
      <c r="W43" s="45">
        <f t="shared" si="15"/>
        <v>19.474853245481398</v>
      </c>
      <c r="X43" s="45">
        <f t="shared" si="16"/>
        <v>21.422338570029542</v>
      </c>
      <c r="Y43" s="45">
        <f t="shared" si="17"/>
        <v>23.564572427032491</v>
      </c>
      <c r="Z43" s="45">
        <f t="shared" si="18"/>
        <v>25.921029669735745</v>
      </c>
      <c r="AA43" s="45">
        <f t="shared" si="19"/>
        <v>28.513132636709329</v>
      </c>
    </row>
    <row r="44" spans="1:27" x14ac:dyDescent="0.2">
      <c r="D44" s="82"/>
      <c r="U44" s="1">
        <v>14</v>
      </c>
      <c r="V44" s="45">
        <f t="shared" si="14"/>
        <v>18.147024157082633</v>
      </c>
      <c r="W44" s="45">
        <f t="shared" si="15"/>
        <v>19.961724576618433</v>
      </c>
      <c r="X44" s="45">
        <f t="shared" si="16"/>
        <v>21.957897034280279</v>
      </c>
      <c r="Y44" s="45">
        <f t="shared" si="17"/>
        <v>24.153686737708302</v>
      </c>
      <c r="Z44" s="45">
        <f t="shared" si="18"/>
        <v>26.569055411479138</v>
      </c>
      <c r="AA44" s="45">
        <f t="shared" si="19"/>
        <v>29.225960952627059</v>
      </c>
    </row>
    <row r="45" spans="1:27" x14ac:dyDescent="0.2">
      <c r="U45" s="1">
        <v>15</v>
      </c>
      <c r="V45" s="45">
        <f t="shared" si="14"/>
        <v>18.600699761009697</v>
      </c>
      <c r="W45" s="45">
        <f t="shared" si="15"/>
        <v>20.460767691033894</v>
      </c>
      <c r="X45" s="45">
        <f t="shared" si="16"/>
        <v>22.506844460137284</v>
      </c>
      <c r="Y45" s="45">
        <f t="shared" si="17"/>
        <v>24.757528906151009</v>
      </c>
      <c r="Z45" s="45">
        <f t="shared" si="18"/>
        <v>27.233281796766114</v>
      </c>
      <c r="AA45" s="45">
        <f t="shared" si="19"/>
        <v>29.956609976442731</v>
      </c>
    </row>
    <row r="46" spans="1:27" x14ac:dyDescent="0.2">
      <c r="U46" s="1">
        <v>16</v>
      </c>
      <c r="V46" s="45">
        <f t="shared" si="14"/>
        <v>19.065717255034937</v>
      </c>
      <c r="W46" s="45">
        <f t="shared" si="15"/>
        <v>20.972286883309739</v>
      </c>
      <c r="X46" s="45">
        <f t="shared" si="16"/>
        <v>23.069515571640714</v>
      </c>
      <c r="Y46" s="45">
        <f t="shared" si="17"/>
        <v>25.376467128804784</v>
      </c>
      <c r="Z46" s="45">
        <f t="shared" si="18"/>
        <v>27.914113841685264</v>
      </c>
      <c r="AA46" s="45">
        <f t="shared" si="19"/>
        <v>30.705525225853798</v>
      </c>
    </row>
    <row r="47" spans="1:27" x14ac:dyDescent="0.2">
      <c r="U47" s="1">
        <v>17</v>
      </c>
      <c r="V47" s="45">
        <f t="shared" si="14"/>
        <v>19.542360186410807</v>
      </c>
      <c r="W47" s="45">
        <f t="shared" si="15"/>
        <v>21.496594055392482</v>
      </c>
      <c r="X47" s="45">
        <f t="shared" si="16"/>
        <v>23.646253460931732</v>
      </c>
      <c r="Y47" s="45">
        <f t="shared" si="17"/>
        <v>26.010878807024902</v>
      </c>
      <c r="Z47" s="45">
        <f t="shared" si="18"/>
        <v>28.611966687727392</v>
      </c>
      <c r="AA47" s="45">
        <f t="shared" si="19"/>
        <v>31.473163356500141</v>
      </c>
    </row>
    <row r="48" spans="1:27" x14ac:dyDescent="0.2">
      <c r="U48" s="1">
        <v>18</v>
      </c>
      <c r="V48" s="45">
        <f t="shared" si="14"/>
        <v>20.030919191071074</v>
      </c>
      <c r="W48" s="45">
        <f t="shared" si="15"/>
        <v>22.034008906777292</v>
      </c>
      <c r="X48" s="45">
        <f t="shared" si="16"/>
        <v>24.237409797455022</v>
      </c>
      <c r="Y48" s="45">
        <f t="shared" si="17"/>
        <v>26.661150777200522</v>
      </c>
      <c r="Z48" s="45">
        <f t="shared" si="18"/>
        <v>29.327265854920576</v>
      </c>
      <c r="AA48" s="45">
        <f t="shared" si="19"/>
        <v>32.259992440412638</v>
      </c>
    </row>
    <row r="49" spans="21:27" x14ac:dyDescent="0.2">
      <c r="U49" s="1">
        <v>19</v>
      </c>
      <c r="V49" s="45">
        <f t="shared" si="14"/>
        <v>20.531692170847851</v>
      </c>
      <c r="W49" s="45">
        <f t="shared" si="15"/>
        <v>22.584859129446723</v>
      </c>
      <c r="X49" s="45">
        <f t="shared" si="16"/>
        <v>24.843345042391395</v>
      </c>
      <c r="Y49" s="45">
        <f t="shared" si="17"/>
        <v>27.327679546630531</v>
      </c>
      <c r="Z49" s="45">
        <f t="shared" si="18"/>
        <v>30.060447501293588</v>
      </c>
      <c r="AA49" s="45">
        <f t="shared" si="19"/>
        <v>33.06649225142295</v>
      </c>
    </row>
    <row r="50" spans="21:27" x14ac:dyDescent="0.2">
      <c r="U50" s="1">
        <v>20</v>
      </c>
      <c r="V50" s="45">
        <f t="shared" si="14"/>
        <v>21.044984475119044</v>
      </c>
      <c r="W50" s="45">
        <f t="shared" si="15"/>
        <v>23.149480607682889</v>
      </c>
      <c r="X50" s="45">
        <f t="shared" si="16"/>
        <v>25.464428668451177</v>
      </c>
      <c r="Y50" s="45">
        <f t="shared" si="17"/>
        <v>28.010871535296292</v>
      </c>
      <c r="Z50" s="45">
        <f t="shared" si="18"/>
        <v>30.811958688825925</v>
      </c>
      <c r="AA50" s="45">
        <f t="shared" si="19"/>
        <v>33.89315455770852</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C6" sqref="C6"/>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282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5.75" x14ac:dyDescent="0.25">
      <c r="A2" s="222" t="s">
        <v>382</v>
      </c>
    </row>
    <row r="3" spans="1:26" x14ac:dyDescent="0.25">
      <c r="A3" s="12">
        <v>509</v>
      </c>
    </row>
    <row r="4" spans="1:26" ht="20.25" x14ac:dyDescent="0.3">
      <c r="A4" s="170"/>
      <c r="B4" s="170"/>
      <c r="C4" s="170"/>
      <c r="D4" s="170"/>
      <c r="E4" s="170"/>
      <c r="F4" s="170"/>
      <c r="G4" s="170"/>
      <c r="H4" s="170"/>
      <c r="I4" s="170"/>
      <c r="J4" s="170"/>
      <c r="K4" s="170"/>
      <c r="L4" s="170"/>
      <c r="M4" s="170"/>
      <c r="N4" s="170"/>
      <c r="O4" s="170"/>
    </row>
    <row r="5" spans="1:26" ht="15.75" x14ac:dyDescent="0.25">
      <c r="A5" s="314" t="s">
        <v>154</v>
      </c>
      <c r="B5" s="314"/>
      <c r="C5" s="314"/>
      <c r="E5" s="314" t="s">
        <v>155</v>
      </c>
      <c r="F5" s="314"/>
      <c r="G5" s="314"/>
      <c r="I5" s="314" t="s">
        <v>156</v>
      </c>
      <c r="J5" s="314"/>
      <c r="K5" s="314"/>
      <c r="M5" s="33" t="s">
        <v>157</v>
      </c>
      <c r="N5" s="33"/>
      <c r="O5" s="33"/>
    </row>
    <row r="6" spans="1:26" x14ac:dyDescent="0.25">
      <c r="A6" s="16" t="s">
        <v>158</v>
      </c>
      <c r="B6" s="16" t="s">
        <v>159</v>
      </c>
      <c r="C6" s="16" t="s">
        <v>160</v>
      </c>
      <c r="E6" s="16" t="s">
        <v>158</v>
      </c>
      <c r="F6" s="16" t="s">
        <v>159</v>
      </c>
      <c r="G6" s="16" t="s">
        <v>160</v>
      </c>
      <c r="I6" s="25" t="s">
        <v>161</v>
      </c>
      <c r="J6" s="16" t="s">
        <v>159</v>
      </c>
      <c r="K6" s="16" t="s">
        <v>160</v>
      </c>
      <c r="M6" s="25" t="s">
        <v>162</v>
      </c>
      <c r="N6" s="16" t="s">
        <v>159</v>
      </c>
      <c r="O6" s="16" t="s">
        <v>160</v>
      </c>
    </row>
    <row r="7" spans="1:26" x14ac:dyDescent="0.25">
      <c r="A7" s="17" t="s">
        <v>163</v>
      </c>
      <c r="B7" s="18">
        <v>23</v>
      </c>
      <c r="C7" s="19">
        <f>B7/A3</f>
        <v>4.5186640471512773E-2</v>
      </c>
      <c r="E7" s="23" t="s">
        <v>164</v>
      </c>
      <c r="F7" s="18"/>
      <c r="G7" s="19">
        <v>0.11700000000000001</v>
      </c>
      <c r="I7" s="23" t="s">
        <v>165</v>
      </c>
      <c r="J7" s="18">
        <v>450</v>
      </c>
      <c r="K7" s="19">
        <f>J7/A3</f>
        <v>0.88408644400785852</v>
      </c>
      <c r="M7" s="23" t="s">
        <v>166</v>
      </c>
      <c r="N7" s="18">
        <v>43</v>
      </c>
      <c r="O7" s="19">
        <f>N7/A3</f>
        <v>8.4479371316306479E-2</v>
      </c>
    </row>
    <row r="8" spans="1:26" x14ac:dyDescent="0.25">
      <c r="A8" s="20" t="s">
        <v>167</v>
      </c>
      <c r="B8" s="21">
        <v>95</v>
      </c>
      <c r="C8" s="22">
        <f>B8/A3</f>
        <v>0.18664047151277013</v>
      </c>
      <c r="E8" s="24" t="s">
        <v>168</v>
      </c>
      <c r="F8" s="21"/>
      <c r="G8" s="19">
        <v>0.32</v>
      </c>
      <c r="I8" s="24" t="s">
        <v>169</v>
      </c>
      <c r="J8" s="21">
        <v>24</v>
      </c>
      <c r="K8" s="19">
        <f>J8/A3</f>
        <v>4.7151277013752456E-2</v>
      </c>
      <c r="M8" s="24" t="s">
        <v>170</v>
      </c>
      <c r="N8" s="21">
        <v>466</v>
      </c>
      <c r="O8" s="22">
        <f>N8/A3</f>
        <v>0.91552062868369355</v>
      </c>
    </row>
    <row r="9" spans="1:26" x14ac:dyDescent="0.25">
      <c r="A9" s="20" t="s">
        <v>171</v>
      </c>
      <c r="B9" s="21">
        <v>102</v>
      </c>
      <c r="C9" s="22">
        <f>B9/A3</f>
        <v>0.20039292730844793</v>
      </c>
      <c r="E9" s="24" t="s">
        <v>172</v>
      </c>
      <c r="F9" s="21"/>
      <c r="G9" s="19">
        <v>0.254</v>
      </c>
      <c r="I9" s="24" t="s">
        <v>173</v>
      </c>
      <c r="J9" s="21">
        <v>19</v>
      </c>
      <c r="K9" s="19">
        <f>J9/A3</f>
        <v>3.732809430255403E-2</v>
      </c>
    </row>
    <row r="10" spans="1:26" x14ac:dyDescent="0.25">
      <c r="A10" s="20" t="s">
        <v>174</v>
      </c>
      <c r="B10" s="21">
        <v>90</v>
      </c>
      <c r="C10" s="22">
        <f>B10/A3</f>
        <v>0.17681728880157171</v>
      </c>
      <c r="E10" s="24" t="s">
        <v>175</v>
      </c>
      <c r="F10" s="21"/>
      <c r="G10" s="19">
        <v>0.113</v>
      </c>
      <c r="I10" s="24" t="s">
        <v>176</v>
      </c>
      <c r="J10" s="21">
        <v>10</v>
      </c>
      <c r="K10" s="19">
        <f>J10/A3</f>
        <v>1.9646365422396856E-2</v>
      </c>
    </row>
    <row r="11" spans="1:26" x14ac:dyDescent="0.25">
      <c r="A11" s="20" t="s">
        <v>177</v>
      </c>
      <c r="B11" s="21">
        <v>82</v>
      </c>
      <c r="C11" s="22">
        <f>B11/A3</f>
        <v>0.16110019646365423</v>
      </c>
      <c r="E11" s="24" t="s">
        <v>178</v>
      </c>
      <c r="F11" s="21"/>
      <c r="G11" s="19">
        <v>0.159</v>
      </c>
      <c r="I11" s="24" t="s">
        <v>179</v>
      </c>
      <c r="J11" s="21">
        <v>3</v>
      </c>
      <c r="K11" s="19">
        <f>J11/A3</f>
        <v>5.893909626719057E-3</v>
      </c>
    </row>
    <row r="12" spans="1:26" x14ac:dyDescent="0.25">
      <c r="A12" s="20" t="s">
        <v>180</v>
      </c>
      <c r="B12" s="21">
        <v>73</v>
      </c>
      <c r="C12" s="22">
        <f>B12/A3</f>
        <v>0.14341846758349705</v>
      </c>
      <c r="E12" s="24" t="s">
        <v>181</v>
      </c>
      <c r="F12" s="21"/>
      <c r="G12" s="19">
        <v>3.1E-2</v>
      </c>
      <c r="I12" s="24" t="s">
        <v>182</v>
      </c>
      <c r="J12" s="21">
        <v>3</v>
      </c>
      <c r="K12" s="19">
        <f>J12/A3</f>
        <v>5.893909626719057E-3</v>
      </c>
    </row>
    <row r="13" spans="1:26" x14ac:dyDescent="0.25">
      <c r="A13" s="20" t="s">
        <v>183</v>
      </c>
      <c r="B13" s="21">
        <v>44</v>
      </c>
      <c r="C13" s="22">
        <f>B13/A3</f>
        <v>8.6444007858546168E-2</v>
      </c>
      <c r="E13" s="24" t="s">
        <v>184</v>
      </c>
      <c r="F13" s="21"/>
      <c r="G13" s="19">
        <v>6.0000000000000001E-3</v>
      </c>
      <c r="I13" s="24" t="s">
        <v>185</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zoomScaleNormal="100" workbookViewId="0">
      <selection activeCell="B11" sqref="B11:B14"/>
    </sheetView>
  </sheetViews>
  <sheetFormatPr defaultColWidth="9.140625" defaultRowHeight="14.25" x14ac:dyDescent="0.2"/>
  <cols>
    <col min="1" max="1" width="31" style="1" bestFit="1" customWidth="1"/>
    <col min="2" max="2" width="9.85546875" style="38" customWidth="1"/>
    <col min="3" max="3" width="13.140625" style="38"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39" customWidth="1"/>
    <col min="17" max="17" width="2.85546875" style="83"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2"/>
      <c r="B1" s="262"/>
      <c r="C1" s="262"/>
      <c r="D1" s="262"/>
      <c r="E1" s="262"/>
      <c r="F1" s="262"/>
      <c r="G1" s="262"/>
      <c r="H1" s="262"/>
      <c r="I1" s="262"/>
      <c r="J1" s="262"/>
      <c r="K1" s="262"/>
      <c r="L1" s="262"/>
      <c r="M1" s="262"/>
      <c r="N1" s="262"/>
      <c r="O1" s="262"/>
      <c r="P1" s="262"/>
    </row>
    <row r="2" spans="1:17" x14ac:dyDescent="0.2">
      <c r="A2" s="37"/>
    </row>
    <row r="3" spans="1:17" ht="15" x14ac:dyDescent="0.25">
      <c r="A3" s="15" t="s">
        <v>26</v>
      </c>
    </row>
    <row r="4" spans="1:17" ht="80.25" customHeight="1" x14ac:dyDescent="0.2">
      <c r="A4" s="268" t="s">
        <v>27</v>
      </c>
      <c r="B4" s="268"/>
      <c r="C4" s="268"/>
      <c r="D4" s="268"/>
      <c r="E4" s="268"/>
      <c r="F4" s="268"/>
      <c r="G4" s="268"/>
      <c r="H4" s="268"/>
      <c r="I4" s="268"/>
      <c r="J4" s="268"/>
      <c r="K4" s="268"/>
      <c r="L4" s="268"/>
      <c r="M4" s="268"/>
      <c r="N4" s="268"/>
      <c r="O4" s="268"/>
      <c r="P4" s="268"/>
    </row>
    <row r="5" spans="1:17" ht="96.75" customHeight="1" x14ac:dyDescent="0.2">
      <c r="A5" s="268"/>
      <c r="B5" s="268"/>
      <c r="C5" s="268"/>
      <c r="D5" s="268"/>
      <c r="E5" s="268"/>
      <c r="F5" s="268"/>
      <c r="G5" s="268"/>
      <c r="H5" s="268"/>
      <c r="I5" s="268"/>
      <c r="J5" s="268"/>
      <c r="K5" s="268"/>
      <c r="L5" s="268"/>
      <c r="M5" s="268"/>
      <c r="N5" s="268"/>
      <c r="O5" s="268"/>
      <c r="P5" s="268"/>
    </row>
    <row r="6" spans="1:17" ht="15" thickBot="1" x14ac:dyDescent="0.25"/>
    <row r="7" spans="1:17" ht="15.75" thickBot="1" x14ac:dyDescent="0.3">
      <c r="A7" s="263" t="s">
        <v>28</v>
      </c>
      <c r="B7" s="264"/>
      <c r="C7" s="264"/>
      <c r="D7" s="264"/>
      <c r="E7" s="264"/>
      <c r="F7" s="264"/>
      <c r="G7" s="264"/>
      <c r="H7" s="264"/>
      <c r="I7" s="264"/>
      <c r="J7" s="264"/>
      <c r="K7" s="264"/>
      <c r="L7" s="264"/>
      <c r="M7" s="264"/>
      <c r="N7" s="264"/>
      <c r="O7" s="264"/>
      <c r="P7" s="265"/>
      <c r="Q7" s="104"/>
    </row>
    <row r="8" spans="1:17" ht="15.75" customHeight="1" thickBot="1" x14ac:dyDescent="0.3">
      <c r="A8" s="238" t="s">
        <v>29</v>
      </c>
      <c r="B8" s="260" t="s">
        <v>30</v>
      </c>
      <c r="C8" s="261"/>
      <c r="D8" s="241" t="s">
        <v>31</v>
      </c>
      <c r="E8" s="244" t="s">
        <v>32</v>
      </c>
      <c r="F8" s="40" t="s">
        <v>33</v>
      </c>
      <c r="G8" s="41" t="s">
        <v>33</v>
      </c>
      <c r="H8" s="41" t="s">
        <v>33</v>
      </c>
      <c r="I8" s="237" t="s">
        <v>33</v>
      </c>
      <c r="J8" s="237"/>
      <c r="K8" s="237" t="s">
        <v>34</v>
      </c>
      <c r="L8" s="237"/>
      <c r="M8" s="41" t="s">
        <v>35</v>
      </c>
      <c r="N8" s="41" t="s">
        <v>35</v>
      </c>
      <c r="O8" s="42" t="s">
        <v>35</v>
      </c>
      <c r="P8" s="105" t="s">
        <v>36</v>
      </c>
      <c r="Q8" s="106"/>
    </row>
    <row r="9" spans="1:17" s="43" customFormat="1" ht="13.9" customHeight="1" x14ac:dyDescent="0.25">
      <c r="A9" s="239"/>
      <c r="B9" s="251" t="s">
        <v>37</v>
      </c>
      <c r="C9" s="253" t="s">
        <v>38</v>
      </c>
      <c r="D9" s="242"/>
      <c r="E9" s="245"/>
      <c r="F9" s="247" t="s">
        <v>39</v>
      </c>
      <c r="G9" s="249" t="s">
        <v>40</v>
      </c>
      <c r="H9" s="249" t="s">
        <v>41</v>
      </c>
      <c r="I9" s="266" t="s">
        <v>42</v>
      </c>
      <c r="J9" s="267"/>
      <c r="K9" s="266" t="s">
        <v>43</v>
      </c>
      <c r="L9" s="267"/>
      <c r="M9" s="257" t="s">
        <v>44</v>
      </c>
      <c r="N9" s="257" t="s">
        <v>45</v>
      </c>
      <c r="O9" s="255" t="s">
        <v>46</v>
      </c>
      <c r="P9" s="235" t="s">
        <v>47</v>
      </c>
      <c r="Q9" s="107"/>
    </row>
    <row r="10" spans="1:17" s="43" customFormat="1" ht="32.25" customHeight="1" x14ac:dyDescent="0.25">
      <c r="A10" s="240"/>
      <c r="B10" s="252"/>
      <c r="C10" s="254"/>
      <c r="D10" s="243"/>
      <c r="E10" s="246"/>
      <c r="F10" s="248"/>
      <c r="G10" s="250"/>
      <c r="H10" s="250"/>
      <c r="I10" s="108" t="s">
        <v>48</v>
      </c>
      <c r="J10" s="108" t="s">
        <v>49</v>
      </c>
      <c r="K10" s="108" t="s">
        <v>50</v>
      </c>
      <c r="L10" s="108" t="s">
        <v>51</v>
      </c>
      <c r="M10" s="258"/>
      <c r="N10" s="258"/>
      <c r="O10" s="256"/>
      <c r="P10" s="236"/>
      <c r="Q10" s="109"/>
    </row>
    <row r="11" spans="1:17" x14ac:dyDescent="0.2">
      <c r="A11" s="110" t="s">
        <v>52</v>
      </c>
      <c r="B11" s="111">
        <v>14.6</v>
      </c>
      <c r="C11" s="112">
        <f>B11*2080</f>
        <v>30368</v>
      </c>
      <c r="D11" s="58">
        <f>D19*1.1</f>
        <v>27.627023809523809</v>
      </c>
      <c r="E11" s="113">
        <f>D11*40*52</f>
        <v>57464.209523809521</v>
      </c>
      <c r="F11" s="114">
        <f t="shared" ref="F11:H12" si="0">F12*1.25</f>
        <v>22.07415120295061</v>
      </c>
      <c r="G11" s="114">
        <f t="shared" si="0"/>
        <v>22.07415120295061</v>
      </c>
      <c r="H11" s="114">
        <f t="shared" si="0"/>
        <v>22.07415120295061</v>
      </c>
      <c r="I11" s="59">
        <f t="shared" ref="I11:I13" si="1">D11</f>
        <v>27.627023809523809</v>
      </c>
      <c r="J11" s="115">
        <f>I11*1.05</f>
        <v>29.008375000000001</v>
      </c>
      <c r="K11" s="59">
        <f>I11*1.1</f>
        <v>30.389726190476193</v>
      </c>
      <c r="L11" s="59">
        <f>K11*1.05</f>
        <v>31.909212500000002</v>
      </c>
      <c r="M11" s="59">
        <f>K11*1.1</f>
        <v>33.428698809523816</v>
      </c>
      <c r="N11" s="59">
        <f t="shared" ref="N11:O13" si="2">M11*1.1</f>
        <v>36.771568690476201</v>
      </c>
      <c r="O11" s="116">
        <f t="shared" si="2"/>
        <v>40.448725559523822</v>
      </c>
      <c r="P11" s="117" t="s">
        <v>53</v>
      </c>
    </row>
    <row r="12" spans="1:17" x14ac:dyDescent="0.2">
      <c r="A12" s="110" t="s">
        <v>54</v>
      </c>
      <c r="B12" s="111">
        <v>14.13</v>
      </c>
      <c r="C12" s="112">
        <f t="shared" ref="C12:C14" si="3">B12*2080</f>
        <v>29390.400000000001</v>
      </c>
      <c r="D12" s="58">
        <f>D11-(D11*0.25)</f>
        <v>20.720267857142858</v>
      </c>
      <c r="E12" s="113">
        <f t="shared" ref="E12:E13" si="4">D12*40*52</f>
        <v>43098.157142857148</v>
      </c>
      <c r="F12" s="58">
        <f t="shared" si="0"/>
        <v>17.659320962360489</v>
      </c>
      <c r="G12" s="58">
        <f t="shared" si="0"/>
        <v>17.659320962360489</v>
      </c>
      <c r="H12" s="58">
        <f t="shared" si="0"/>
        <v>17.659320962360489</v>
      </c>
      <c r="I12" s="59">
        <f t="shared" si="1"/>
        <v>20.720267857142858</v>
      </c>
      <c r="J12" s="115">
        <f t="shared" ref="J12:L13" si="5">I12*1.05</f>
        <v>21.756281250000001</v>
      </c>
      <c r="K12" s="59">
        <f>I12*1.1</f>
        <v>22.792294642857147</v>
      </c>
      <c r="L12" s="59">
        <f t="shared" si="5"/>
        <v>23.931909375000007</v>
      </c>
      <c r="M12" s="59">
        <f>K12*1.1</f>
        <v>25.071524107142864</v>
      </c>
      <c r="N12" s="59">
        <f t="shared" si="2"/>
        <v>27.578676517857151</v>
      </c>
      <c r="O12" s="116">
        <f t="shared" si="2"/>
        <v>30.336544169642867</v>
      </c>
      <c r="P12" s="118" t="s">
        <v>55</v>
      </c>
      <c r="Q12" s="119"/>
    </row>
    <row r="13" spans="1:17" x14ac:dyDescent="0.2">
      <c r="A13" s="110" t="s">
        <v>56</v>
      </c>
      <c r="B13" s="111">
        <v>12.39</v>
      </c>
      <c r="C13" s="112">
        <f t="shared" si="3"/>
        <v>25771.200000000001</v>
      </c>
      <c r="D13" s="58">
        <f>D12-(D12*0.25)</f>
        <v>15.540200892857143</v>
      </c>
      <c r="E13" s="113">
        <f t="shared" si="4"/>
        <v>32323.617857142857</v>
      </c>
      <c r="F13" s="58">
        <f>F21*1.1</f>
        <v>14.127456769888392</v>
      </c>
      <c r="G13" s="58">
        <f>G21*1.1</f>
        <v>14.127456769888392</v>
      </c>
      <c r="H13" s="58">
        <f>H21*1.1</f>
        <v>14.127456769888392</v>
      </c>
      <c r="I13" s="59">
        <f t="shared" si="1"/>
        <v>15.540200892857143</v>
      </c>
      <c r="J13" s="115">
        <f t="shared" si="5"/>
        <v>16.317210937500001</v>
      </c>
      <c r="K13" s="59">
        <f>I13*1.1</f>
        <v>17.094220982142858</v>
      </c>
      <c r="L13" s="59">
        <f t="shared" si="5"/>
        <v>17.948932031250003</v>
      </c>
      <c r="M13" s="59">
        <f>K13*1.1</f>
        <v>18.803643080357144</v>
      </c>
      <c r="N13" s="59">
        <f t="shared" si="2"/>
        <v>20.68400738839286</v>
      </c>
      <c r="O13" s="116">
        <f>N13*1.1</f>
        <v>22.752408127232147</v>
      </c>
      <c r="P13" s="118" t="s">
        <v>57</v>
      </c>
      <c r="Q13" s="120"/>
    </row>
    <row r="14" spans="1:17" ht="28.5" x14ac:dyDescent="0.2">
      <c r="A14" s="110" t="s">
        <v>58</v>
      </c>
      <c r="B14" s="111">
        <v>14.39</v>
      </c>
      <c r="C14" s="112">
        <f t="shared" si="3"/>
        <v>29931.200000000001</v>
      </c>
      <c r="D14" s="58">
        <f>D12</f>
        <v>20.720267857142858</v>
      </c>
      <c r="E14" s="113">
        <f>E12</f>
        <v>43098.157142857148</v>
      </c>
      <c r="F14" s="58">
        <f t="shared" ref="F14:M14" si="6">F12</f>
        <v>17.659320962360489</v>
      </c>
      <c r="G14" s="59">
        <f t="shared" si="6"/>
        <v>17.659320962360489</v>
      </c>
      <c r="H14" s="59">
        <f t="shared" si="6"/>
        <v>17.659320962360489</v>
      </c>
      <c r="I14" s="59">
        <f t="shared" si="6"/>
        <v>20.720267857142858</v>
      </c>
      <c r="J14" s="115">
        <f t="shared" si="6"/>
        <v>21.756281250000001</v>
      </c>
      <c r="K14" s="59">
        <f t="shared" si="6"/>
        <v>22.792294642857147</v>
      </c>
      <c r="L14" s="59">
        <f t="shared" ref="L14" si="7">L12</f>
        <v>23.931909375000007</v>
      </c>
      <c r="M14" s="59">
        <f t="shared" si="6"/>
        <v>25.071524107142864</v>
      </c>
      <c r="N14" s="121" t="s">
        <v>59</v>
      </c>
      <c r="O14" s="122" t="s">
        <v>59</v>
      </c>
      <c r="P14" s="118" t="s">
        <v>60</v>
      </c>
      <c r="Q14" s="119"/>
    </row>
    <row r="15" spans="1:17" ht="15" thickBot="1" x14ac:dyDescent="0.25">
      <c r="A15" s="123"/>
      <c r="B15" s="124"/>
      <c r="C15" s="125"/>
      <c r="D15" s="126"/>
      <c r="E15" s="127"/>
      <c r="F15" s="128"/>
      <c r="G15" s="129"/>
      <c r="H15" s="129"/>
      <c r="I15" s="129"/>
      <c r="J15" s="129"/>
      <c r="K15" s="129"/>
      <c r="L15" s="129"/>
      <c r="M15" s="129"/>
      <c r="N15" s="130"/>
      <c r="O15" s="130"/>
      <c r="P15" s="131"/>
      <c r="Q15" s="119"/>
    </row>
    <row r="16" spans="1:17" ht="15.75" customHeight="1" thickBot="1" x14ac:dyDescent="0.3">
      <c r="A16" s="238" t="s">
        <v>29</v>
      </c>
      <c r="B16" s="260" t="s">
        <v>30</v>
      </c>
      <c r="C16" s="261"/>
      <c r="D16" s="241" t="s">
        <v>31</v>
      </c>
      <c r="E16" s="244" t="s">
        <v>32</v>
      </c>
      <c r="F16" s="132" t="s">
        <v>33</v>
      </c>
      <c r="G16" s="133" t="s">
        <v>33</v>
      </c>
      <c r="H16" s="133" t="s">
        <v>33</v>
      </c>
      <c r="I16" s="259" t="s">
        <v>33</v>
      </c>
      <c r="J16" s="259"/>
      <c r="K16" s="259" t="s">
        <v>34</v>
      </c>
      <c r="L16" s="259"/>
      <c r="M16" s="133" t="s">
        <v>35</v>
      </c>
      <c r="N16" s="133" t="s">
        <v>35</v>
      </c>
      <c r="O16" s="205" t="s">
        <v>35</v>
      </c>
      <c r="P16" s="105" t="s">
        <v>36</v>
      </c>
      <c r="Q16" s="106"/>
    </row>
    <row r="17" spans="1:17" s="43" customFormat="1" ht="13.9" customHeight="1" x14ac:dyDescent="0.25">
      <c r="A17" s="239"/>
      <c r="B17" s="251" t="s">
        <v>37</v>
      </c>
      <c r="C17" s="253" t="s">
        <v>38</v>
      </c>
      <c r="D17" s="242"/>
      <c r="E17" s="245"/>
      <c r="F17" s="247" t="s">
        <v>39</v>
      </c>
      <c r="G17" s="249" t="s">
        <v>40</v>
      </c>
      <c r="H17" s="249" t="s">
        <v>41</v>
      </c>
      <c r="I17" s="266" t="s">
        <v>42</v>
      </c>
      <c r="J17" s="267"/>
      <c r="K17" s="266" t="s">
        <v>43</v>
      </c>
      <c r="L17" s="267"/>
      <c r="M17" s="257" t="s">
        <v>44</v>
      </c>
      <c r="N17" s="257" t="s">
        <v>45</v>
      </c>
      <c r="O17" s="255" t="s">
        <v>46</v>
      </c>
      <c r="P17" s="235" t="s">
        <v>61</v>
      </c>
      <c r="Q17" s="134"/>
    </row>
    <row r="18" spans="1:17" s="43" customFormat="1" ht="30" customHeight="1" x14ac:dyDescent="0.25">
      <c r="A18" s="240"/>
      <c r="B18" s="252"/>
      <c r="C18" s="254"/>
      <c r="D18" s="243"/>
      <c r="E18" s="246"/>
      <c r="F18" s="248"/>
      <c r="G18" s="250"/>
      <c r="H18" s="250"/>
      <c r="I18" s="108" t="s">
        <v>48</v>
      </c>
      <c r="J18" s="108" t="s">
        <v>49</v>
      </c>
      <c r="K18" s="108" t="s">
        <v>50</v>
      </c>
      <c r="L18" s="108" t="s">
        <v>51</v>
      </c>
      <c r="M18" s="258"/>
      <c r="N18" s="258"/>
      <c r="O18" s="256"/>
      <c r="P18" s="236"/>
      <c r="Q18" s="134"/>
    </row>
    <row r="19" spans="1:17" x14ac:dyDescent="0.2">
      <c r="A19" s="110" t="s">
        <v>62</v>
      </c>
      <c r="B19" s="111">
        <f>B11</f>
        <v>14.6</v>
      </c>
      <c r="C19" s="112">
        <f>B19*2080</f>
        <v>30368</v>
      </c>
      <c r="D19" s="135">
        <f>42194/40/42</f>
        <v>25.115476190476187</v>
      </c>
      <c r="E19" s="113">
        <f>D19*40*52</f>
        <v>52240.190476190466</v>
      </c>
      <c r="F19" s="114">
        <f>F20*1.25</f>
        <v>20.067410184500556</v>
      </c>
      <c r="G19" s="114">
        <f t="shared" ref="G19:H20" si="8">G20*1.25</f>
        <v>20.067410184500556</v>
      </c>
      <c r="H19" s="114">
        <f t="shared" si="8"/>
        <v>20.067410184500556</v>
      </c>
      <c r="I19" s="59">
        <f>D19</f>
        <v>25.115476190476187</v>
      </c>
      <c r="J19" s="115">
        <f>I19*1.05</f>
        <v>26.371249999999996</v>
      </c>
      <c r="K19" s="59">
        <f>I19*1.1</f>
        <v>27.627023809523809</v>
      </c>
      <c r="L19" s="59">
        <f>K19*1.05</f>
        <v>29.008375000000001</v>
      </c>
      <c r="M19" s="59">
        <f>K19*1.1</f>
        <v>30.389726190476193</v>
      </c>
      <c r="N19" s="59">
        <f t="shared" ref="N19:O21" si="9">M19*1.1</f>
        <v>33.428698809523816</v>
      </c>
      <c r="O19" s="116">
        <f>N19*1.1</f>
        <v>36.771568690476201</v>
      </c>
      <c r="P19" s="136" t="s">
        <v>63</v>
      </c>
      <c r="Q19" s="119"/>
    </row>
    <row r="20" spans="1:17" x14ac:dyDescent="0.2">
      <c r="A20" s="110" t="s">
        <v>64</v>
      </c>
      <c r="B20" s="111">
        <f>B12</f>
        <v>14.13</v>
      </c>
      <c r="C20" s="112">
        <f t="shared" ref="C20:C22" si="10">B20*2080</f>
        <v>29390.400000000001</v>
      </c>
      <c r="D20" s="58">
        <f>D19-(D19*0.25)</f>
        <v>18.83660714285714</v>
      </c>
      <c r="E20" s="113">
        <f>D20*40*52</f>
        <v>39180.142857142848</v>
      </c>
      <c r="F20" s="58">
        <f>F21*1.25</f>
        <v>16.053928147600445</v>
      </c>
      <c r="G20" s="58">
        <f t="shared" si="8"/>
        <v>16.053928147600445</v>
      </c>
      <c r="H20" s="58">
        <f t="shared" si="8"/>
        <v>16.053928147600445</v>
      </c>
      <c r="I20" s="59">
        <f>D20</f>
        <v>18.83660714285714</v>
      </c>
      <c r="J20" s="115">
        <f t="shared" ref="J20:J21" si="11">I20*1.05</f>
        <v>19.778437499999999</v>
      </c>
      <c r="K20" s="59">
        <f>I20*1.1</f>
        <v>20.720267857142854</v>
      </c>
      <c r="L20" s="59">
        <f t="shared" ref="L20:L21" si="12">K20*1.05</f>
        <v>21.756281249999997</v>
      </c>
      <c r="M20" s="59">
        <f t="shared" ref="M20:M21" si="13">K20*1.1</f>
        <v>22.79229464285714</v>
      </c>
      <c r="N20" s="59">
        <f t="shared" si="9"/>
        <v>25.071524107142857</v>
      </c>
      <c r="O20" s="116">
        <f t="shared" si="9"/>
        <v>27.578676517857144</v>
      </c>
      <c r="P20" s="118" t="s">
        <v>55</v>
      </c>
      <c r="Q20" s="119"/>
    </row>
    <row r="21" spans="1:17" x14ac:dyDescent="0.2">
      <c r="A21" s="110" t="s">
        <v>65</v>
      </c>
      <c r="B21" s="111">
        <f>B13</f>
        <v>12.39</v>
      </c>
      <c r="C21" s="112">
        <f t="shared" si="10"/>
        <v>25771.200000000001</v>
      </c>
      <c r="D21" s="58">
        <f>D20-(D20*0.25)</f>
        <v>14.127455357142855</v>
      </c>
      <c r="E21" s="113">
        <f>D21*40*52</f>
        <v>29385.107142857138</v>
      </c>
      <c r="F21" s="58">
        <f>H21</f>
        <v>12.843142518080356</v>
      </c>
      <c r="G21" s="59">
        <f>H21</f>
        <v>12.843142518080356</v>
      </c>
      <c r="H21" s="59">
        <f>0.909091*I21</f>
        <v>12.843142518080356</v>
      </c>
      <c r="I21" s="59">
        <f>D21</f>
        <v>14.127455357142855</v>
      </c>
      <c r="J21" s="115">
        <f t="shared" si="11"/>
        <v>14.833828124999998</v>
      </c>
      <c r="K21" s="59">
        <f>I21*1.1</f>
        <v>15.540200892857142</v>
      </c>
      <c r="L21" s="59">
        <f t="shared" si="12"/>
        <v>16.317210937500001</v>
      </c>
      <c r="M21" s="59">
        <f t="shared" si="13"/>
        <v>17.094220982142858</v>
      </c>
      <c r="N21" s="59">
        <f t="shared" si="9"/>
        <v>18.803643080357144</v>
      </c>
      <c r="O21" s="116">
        <f t="shared" si="9"/>
        <v>20.68400738839286</v>
      </c>
      <c r="P21" s="118" t="s">
        <v>66</v>
      </c>
      <c r="Q21" s="120"/>
    </row>
    <row r="22" spans="1:17" ht="28.5" x14ac:dyDescent="0.2">
      <c r="A22" s="110" t="s">
        <v>67</v>
      </c>
      <c r="B22" s="111">
        <f>B14</f>
        <v>14.39</v>
      </c>
      <c r="C22" s="112">
        <f t="shared" si="10"/>
        <v>29931.200000000001</v>
      </c>
      <c r="D22" s="58">
        <f>D20</f>
        <v>18.83660714285714</v>
      </c>
      <c r="E22" s="113">
        <f t="shared" ref="E22:M22" si="14">E20</f>
        <v>39180.142857142848</v>
      </c>
      <c r="F22" s="137">
        <f t="shared" si="14"/>
        <v>16.053928147600445</v>
      </c>
      <c r="G22" s="59">
        <f t="shared" si="14"/>
        <v>16.053928147600445</v>
      </c>
      <c r="H22" s="59">
        <f t="shared" si="14"/>
        <v>16.053928147600445</v>
      </c>
      <c r="I22" s="59">
        <f t="shared" si="14"/>
        <v>18.83660714285714</v>
      </c>
      <c r="J22" s="115">
        <f t="shared" si="14"/>
        <v>19.778437499999999</v>
      </c>
      <c r="K22" s="59">
        <f t="shared" si="14"/>
        <v>20.720267857142854</v>
      </c>
      <c r="L22" s="59">
        <f t="shared" si="14"/>
        <v>21.756281249999997</v>
      </c>
      <c r="M22" s="59">
        <f t="shared" si="14"/>
        <v>22.79229464285714</v>
      </c>
      <c r="N22" s="121" t="s">
        <v>59</v>
      </c>
      <c r="O22" s="122" t="s">
        <v>59</v>
      </c>
      <c r="P22" s="118" t="s">
        <v>60</v>
      </c>
      <c r="Q22" s="119"/>
    </row>
    <row r="23" spans="1:17" x14ac:dyDescent="0.2">
      <c r="A23" s="138"/>
      <c r="E23" s="139"/>
      <c r="L23" s="45"/>
    </row>
    <row r="24" spans="1:17" x14ac:dyDescent="0.2">
      <c r="B24" s="1"/>
      <c r="C24" s="1"/>
      <c r="L24" s="45"/>
    </row>
    <row r="25" spans="1:17" x14ac:dyDescent="0.2">
      <c r="L25" s="45"/>
    </row>
    <row r="26" spans="1:17" x14ac:dyDescent="0.2">
      <c r="L26" s="45"/>
    </row>
    <row r="27" spans="1:17" x14ac:dyDescent="0.2">
      <c r="M27" s="45"/>
      <c r="N27" s="45"/>
    </row>
    <row r="28" spans="1:17" x14ac:dyDescent="0.2">
      <c r="F28" s="45"/>
      <c r="G28" s="45"/>
    </row>
    <row r="29" spans="1:17" x14ac:dyDescent="0.2">
      <c r="D29" s="45"/>
    </row>
    <row r="30" spans="1:17" x14ac:dyDescent="0.2">
      <c r="G30" s="45"/>
    </row>
    <row r="31" spans="1:17" x14ac:dyDescent="0.2">
      <c r="G31" s="45"/>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topLeftCell="A3" zoomScaleNormal="100" workbookViewId="0">
      <selection activeCell="D16" sqref="D16"/>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283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284</v>
      </c>
      <c r="B4" s="318"/>
      <c r="C4" s="318"/>
      <c r="D4" s="318"/>
      <c r="E4" s="318"/>
      <c r="F4" s="318"/>
      <c r="G4" s="318"/>
      <c r="H4" s="318"/>
    </row>
    <row r="5" spans="1:26" ht="36" customHeight="1" x14ac:dyDescent="0.25">
      <c r="A5" s="316" t="s">
        <v>188</v>
      </c>
      <c r="B5" s="317" t="s">
        <v>189</v>
      </c>
      <c r="C5" s="317" t="s">
        <v>190</v>
      </c>
      <c r="D5" s="317" t="s">
        <v>285</v>
      </c>
      <c r="E5" s="317" t="s">
        <v>192</v>
      </c>
      <c r="F5" s="317"/>
      <c r="G5" s="317" t="s">
        <v>193</v>
      </c>
      <c r="H5" s="317"/>
      <c r="P5"/>
      <c r="R5" s="10"/>
    </row>
    <row r="6" spans="1:26" ht="15.75" thickBot="1" x14ac:dyDescent="0.3">
      <c r="A6" s="316"/>
      <c r="B6" s="317"/>
      <c r="C6" s="317"/>
      <c r="D6" s="319"/>
      <c r="E6" s="162" t="s">
        <v>194</v>
      </c>
      <c r="F6" s="162" t="s">
        <v>195</v>
      </c>
      <c r="G6" s="162" t="s">
        <v>194</v>
      </c>
      <c r="H6" s="162" t="s">
        <v>195</v>
      </c>
      <c r="P6"/>
      <c r="R6" s="10"/>
    </row>
    <row r="7" spans="1:26" ht="15.75" thickBot="1" x14ac:dyDescent="0.3">
      <c r="A7" s="194" t="s">
        <v>286</v>
      </c>
      <c r="B7" s="195">
        <v>1</v>
      </c>
      <c r="C7" s="196">
        <f>'1A'!B13</f>
        <v>12.39</v>
      </c>
      <c r="D7" s="197" t="s">
        <v>59</v>
      </c>
      <c r="E7" s="198">
        <f t="shared" ref="E7:E12" si="0">W19-B19</f>
        <v>10</v>
      </c>
      <c r="F7" s="199">
        <f t="shared" ref="F7:F12" si="1">W29</f>
        <v>2.004008016032064E-2</v>
      </c>
      <c r="G7" s="200">
        <f t="shared" ref="G7:G12" si="2">S38-B38</f>
        <v>4.07</v>
      </c>
      <c r="H7" s="201">
        <f t="shared" ref="H7:H12" si="3">S48</f>
        <v>0.48918269230769235</v>
      </c>
      <c r="P7"/>
      <c r="R7" s="10"/>
    </row>
    <row r="8" spans="1:26" ht="15.75" thickTop="1" x14ac:dyDescent="0.25">
      <c r="A8" s="177" t="s">
        <v>287</v>
      </c>
      <c r="B8" s="171">
        <v>0.97</v>
      </c>
      <c r="C8" s="184">
        <f>S39</f>
        <v>13.98</v>
      </c>
      <c r="D8" s="186">
        <f>C8-C7</f>
        <v>1.5899999999999999</v>
      </c>
      <c r="E8" s="173">
        <f t="shared" si="0"/>
        <v>1080</v>
      </c>
      <c r="F8" s="172">
        <f t="shared" si="1"/>
        <v>0.90756302521008403</v>
      </c>
      <c r="G8" s="175">
        <f t="shared" si="2"/>
        <v>5.59</v>
      </c>
      <c r="H8" s="176">
        <f t="shared" si="3"/>
        <v>0.66626936829558991</v>
      </c>
      <c r="P8"/>
      <c r="R8" s="10"/>
    </row>
    <row r="9" spans="1:26" x14ac:dyDescent="0.25">
      <c r="A9" s="177" t="s">
        <v>288</v>
      </c>
      <c r="B9" s="163">
        <v>0.95</v>
      </c>
      <c r="C9" s="184">
        <f t="shared" ref="C9:C12" si="4">S40</f>
        <v>12.16</v>
      </c>
      <c r="D9" s="186">
        <f>C9-C7</f>
        <v>-0.23000000000000043</v>
      </c>
      <c r="E9" s="173">
        <f t="shared" si="0"/>
        <v>18</v>
      </c>
      <c r="F9" s="172">
        <f t="shared" si="1"/>
        <v>0.16216216216216217</v>
      </c>
      <c r="G9" s="174">
        <f t="shared" si="2"/>
        <v>1.5199999999999996</v>
      </c>
      <c r="H9" s="176">
        <f t="shared" si="3"/>
        <v>0.14285714285714282</v>
      </c>
      <c r="P9"/>
      <c r="R9" s="10"/>
    </row>
    <row r="10" spans="1:26" x14ac:dyDescent="0.25">
      <c r="A10" s="177" t="s">
        <v>289</v>
      </c>
      <c r="B10" s="163">
        <v>0.95</v>
      </c>
      <c r="C10" s="184">
        <f t="shared" si="4"/>
        <v>14.67</v>
      </c>
      <c r="D10" s="186">
        <f>C10-C7</f>
        <v>2.2799999999999994</v>
      </c>
      <c r="E10" s="173">
        <f t="shared" si="0"/>
        <v>-268</v>
      </c>
      <c r="F10" s="172">
        <f t="shared" si="1"/>
        <v>-0.11232187761944677</v>
      </c>
      <c r="G10" s="174">
        <f t="shared" si="2"/>
        <v>8.1</v>
      </c>
      <c r="H10" s="176">
        <f t="shared" si="3"/>
        <v>1.2328767123287669</v>
      </c>
      <c r="P10"/>
      <c r="R10" s="10"/>
    </row>
    <row r="11" spans="1:26" x14ac:dyDescent="0.25">
      <c r="A11" s="177" t="s">
        <v>290</v>
      </c>
      <c r="B11" s="163">
        <v>0.95</v>
      </c>
      <c r="C11" s="184">
        <f t="shared" si="4"/>
        <v>17.54</v>
      </c>
      <c r="D11" s="186">
        <f>C11-C7</f>
        <v>5.1499999999999986</v>
      </c>
      <c r="E11" s="173">
        <f t="shared" si="0"/>
        <v>-116</v>
      </c>
      <c r="F11" s="172">
        <f t="shared" si="1"/>
        <v>-0.74358974358974361</v>
      </c>
      <c r="G11" s="174">
        <f t="shared" si="2"/>
        <v>7.0499999999999989</v>
      </c>
      <c r="H11" s="176">
        <f t="shared" si="3"/>
        <v>0.67206863679694939</v>
      </c>
      <c r="P11"/>
      <c r="R11" s="10"/>
    </row>
    <row r="12" spans="1:26" ht="15.75" thickBot="1" x14ac:dyDescent="0.3">
      <c r="A12" s="178" t="s">
        <v>199</v>
      </c>
      <c r="B12" s="179">
        <v>0.94</v>
      </c>
      <c r="C12" s="185">
        <f t="shared" si="4"/>
        <v>16.510000000000002</v>
      </c>
      <c r="D12" s="187">
        <f>C12-C7</f>
        <v>4.120000000000001</v>
      </c>
      <c r="E12" s="180">
        <f t="shared" si="0"/>
        <v>-295</v>
      </c>
      <c r="F12" s="181">
        <f t="shared" si="1"/>
        <v>-0.47351524879614765</v>
      </c>
      <c r="G12" s="182">
        <f t="shared" si="2"/>
        <v>6.2200000000000024</v>
      </c>
      <c r="H12" s="183">
        <f t="shared" si="3"/>
        <v>0.6044703595724007</v>
      </c>
      <c r="P12"/>
      <c r="R12" s="10"/>
    </row>
    <row r="13" spans="1:26" x14ac:dyDescent="0.25">
      <c r="A13" s="1"/>
      <c r="B13" s="34"/>
      <c r="C13" s="35"/>
      <c r="D13" s="35"/>
    </row>
    <row r="17" spans="1:26" ht="15.75" x14ac:dyDescent="0.25">
      <c r="A17" s="315" t="s">
        <v>291</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8" t="s">
        <v>188</v>
      </c>
      <c r="B18" s="189">
        <v>2001</v>
      </c>
      <c r="C18" s="189">
        <v>2002</v>
      </c>
      <c r="D18" s="189">
        <v>2003</v>
      </c>
      <c r="E18" s="189">
        <v>2004</v>
      </c>
      <c r="F18" s="189">
        <v>2005</v>
      </c>
      <c r="G18" s="189">
        <v>2006</v>
      </c>
      <c r="H18" s="189">
        <v>2007</v>
      </c>
      <c r="I18" s="189">
        <v>2008</v>
      </c>
      <c r="J18" s="189">
        <v>2009</v>
      </c>
      <c r="K18" s="189">
        <v>2010</v>
      </c>
      <c r="L18" s="189">
        <v>2011</v>
      </c>
      <c r="M18" s="189">
        <v>2012</v>
      </c>
      <c r="N18" s="189">
        <v>2013</v>
      </c>
      <c r="O18" s="189">
        <v>2014</v>
      </c>
      <c r="P18" s="189">
        <v>2015</v>
      </c>
      <c r="Q18" s="189">
        <v>2016</v>
      </c>
      <c r="R18" s="189">
        <v>2017</v>
      </c>
      <c r="S18" s="189">
        <v>2018</v>
      </c>
      <c r="T18" s="189">
        <v>2019</v>
      </c>
      <c r="U18" s="189">
        <v>2020</v>
      </c>
      <c r="V18" s="189">
        <v>2021</v>
      </c>
      <c r="W18" s="189">
        <v>2022</v>
      </c>
    </row>
    <row r="19" spans="1:26" ht="15.75" thickBot="1" x14ac:dyDescent="0.3">
      <c r="A19" s="164" t="s">
        <v>286</v>
      </c>
      <c r="B19" s="165">
        <v>499</v>
      </c>
      <c r="C19" s="165">
        <v>506</v>
      </c>
      <c r="D19" s="165">
        <v>479</v>
      </c>
      <c r="E19" s="165">
        <v>476</v>
      </c>
      <c r="F19" s="165">
        <v>475</v>
      </c>
      <c r="G19" s="165">
        <v>472</v>
      </c>
      <c r="H19" s="165">
        <v>456</v>
      </c>
      <c r="I19" s="165">
        <v>465</v>
      </c>
      <c r="J19" s="165">
        <v>448</v>
      </c>
      <c r="K19" s="165">
        <v>472</v>
      </c>
      <c r="L19" s="165">
        <v>509</v>
      </c>
      <c r="M19" s="165">
        <v>503</v>
      </c>
      <c r="N19" s="165">
        <v>523</v>
      </c>
      <c r="O19" s="165">
        <v>513</v>
      </c>
      <c r="P19" s="165">
        <v>485</v>
      </c>
      <c r="Q19" s="165">
        <v>498</v>
      </c>
      <c r="R19" s="165">
        <v>506</v>
      </c>
      <c r="S19" s="165">
        <v>509</v>
      </c>
      <c r="T19" s="165">
        <v>550</v>
      </c>
      <c r="U19" s="165">
        <v>481</v>
      </c>
      <c r="V19" s="165">
        <v>511</v>
      </c>
      <c r="W19" s="165">
        <v>509</v>
      </c>
    </row>
    <row r="20" spans="1:26" ht="15.75" thickTop="1" x14ac:dyDescent="0.25">
      <c r="A20" s="142" t="s">
        <v>287</v>
      </c>
      <c r="B20" s="143">
        <v>1190</v>
      </c>
      <c r="C20" s="143">
        <v>1353</v>
      </c>
      <c r="D20" s="143">
        <v>1471</v>
      </c>
      <c r="E20" s="143">
        <v>1501</v>
      </c>
      <c r="F20" s="143">
        <v>1525</v>
      </c>
      <c r="G20" s="143">
        <v>1522</v>
      </c>
      <c r="H20" s="143">
        <v>1474</v>
      </c>
      <c r="I20" s="143">
        <v>1451</v>
      </c>
      <c r="J20" s="143">
        <v>1484</v>
      </c>
      <c r="K20" s="143">
        <v>1465</v>
      </c>
      <c r="L20" s="143">
        <v>1436</v>
      </c>
      <c r="M20" s="143">
        <v>1490</v>
      </c>
      <c r="N20" s="143">
        <v>1666</v>
      </c>
      <c r="O20" s="143">
        <v>1663</v>
      </c>
      <c r="P20" s="143">
        <v>1579</v>
      </c>
      <c r="Q20" s="143">
        <v>1506</v>
      </c>
      <c r="R20" s="143">
        <v>1441</v>
      </c>
      <c r="S20" s="143">
        <v>1471</v>
      </c>
      <c r="T20" s="143">
        <v>1533</v>
      </c>
      <c r="U20" s="143">
        <v>1740</v>
      </c>
      <c r="V20" s="143">
        <v>2135</v>
      </c>
      <c r="W20" s="143">
        <v>2270</v>
      </c>
    </row>
    <row r="21" spans="1:26" x14ac:dyDescent="0.25">
      <c r="A21" s="142" t="s">
        <v>288</v>
      </c>
      <c r="B21" s="143">
        <v>111</v>
      </c>
      <c r="C21" s="143">
        <v>114</v>
      </c>
      <c r="D21" s="143">
        <v>113</v>
      </c>
      <c r="E21" s="143">
        <v>112</v>
      </c>
      <c r="F21" s="143">
        <v>111</v>
      </c>
      <c r="G21" s="143">
        <v>110</v>
      </c>
      <c r="H21" s="143">
        <v>111</v>
      </c>
      <c r="I21" s="143">
        <v>117</v>
      </c>
      <c r="J21" s="143">
        <v>117</v>
      </c>
      <c r="K21" s="143">
        <v>118</v>
      </c>
      <c r="L21" s="143">
        <v>127</v>
      </c>
      <c r="M21" s="143">
        <v>124</v>
      </c>
      <c r="N21" s="143">
        <v>122</v>
      </c>
      <c r="O21" s="143">
        <v>117</v>
      </c>
      <c r="P21" s="143">
        <v>114</v>
      </c>
      <c r="Q21" s="143">
        <v>109</v>
      </c>
      <c r="R21" s="143">
        <v>112</v>
      </c>
      <c r="S21" s="143">
        <v>115</v>
      </c>
      <c r="T21" s="143">
        <v>123</v>
      </c>
      <c r="U21" s="143">
        <v>144</v>
      </c>
      <c r="V21" s="143">
        <v>151</v>
      </c>
      <c r="W21" s="143">
        <v>129</v>
      </c>
    </row>
    <row r="22" spans="1:26" x14ac:dyDescent="0.25">
      <c r="A22" s="142" t="s">
        <v>289</v>
      </c>
      <c r="B22" s="143">
        <v>2386</v>
      </c>
      <c r="C22" s="143">
        <v>2429</v>
      </c>
      <c r="D22" s="143">
        <v>2426</v>
      </c>
      <c r="E22" s="143">
        <v>2431</v>
      </c>
      <c r="F22" s="143">
        <v>2431</v>
      </c>
      <c r="G22" s="143">
        <v>2424</v>
      </c>
      <c r="H22" s="143">
        <v>2423</v>
      </c>
      <c r="I22" s="143">
        <v>2406</v>
      </c>
      <c r="J22" s="143">
        <v>2254</v>
      </c>
      <c r="K22" s="143">
        <v>2189</v>
      </c>
      <c r="L22" s="143">
        <v>2171</v>
      </c>
      <c r="M22" s="143">
        <v>2152</v>
      </c>
      <c r="N22" s="143">
        <v>2185</v>
      </c>
      <c r="O22" s="143">
        <v>2226</v>
      </c>
      <c r="P22" s="143">
        <v>2277</v>
      </c>
      <c r="Q22" s="143">
        <v>2378</v>
      </c>
      <c r="R22" s="143">
        <v>2444</v>
      </c>
      <c r="S22" s="143">
        <v>2437</v>
      </c>
      <c r="T22" s="143">
        <v>2482</v>
      </c>
      <c r="U22" s="143">
        <v>1839</v>
      </c>
      <c r="V22" s="143">
        <v>1800</v>
      </c>
      <c r="W22" s="143">
        <v>2118</v>
      </c>
    </row>
    <row r="23" spans="1:26" x14ac:dyDescent="0.25">
      <c r="A23" s="142" t="s">
        <v>290</v>
      </c>
      <c r="B23" s="145">
        <v>156</v>
      </c>
      <c r="C23" s="145">
        <v>154</v>
      </c>
      <c r="D23" s="145">
        <v>151</v>
      </c>
      <c r="E23" s="145">
        <v>147</v>
      </c>
      <c r="F23" s="145">
        <v>146</v>
      </c>
      <c r="G23" s="145">
        <v>96</v>
      </c>
      <c r="H23" s="145">
        <v>77</v>
      </c>
      <c r="I23" s="145">
        <v>76</v>
      </c>
      <c r="J23" s="145">
        <v>76</v>
      </c>
      <c r="K23" s="145">
        <v>84</v>
      </c>
      <c r="L23" s="145">
        <v>85</v>
      </c>
      <c r="M23" s="145">
        <v>78</v>
      </c>
      <c r="N23" s="145">
        <v>75</v>
      </c>
      <c r="O23" s="145">
        <v>75</v>
      </c>
      <c r="P23" s="145">
        <v>72</v>
      </c>
      <c r="Q23" s="145">
        <v>69</v>
      </c>
      <c r="R23" s="145">
        <v>66</v>
      </c>
      <c r="S23" s="145">
        <v>54</v>
      </c>
      <c r="T23" s="145">
        <v>50</v>
      </c>
      <c r="U23" s="145">
        <v>55</v>
      </c>
      <c r="V23" s="145">
        <v>47</v>
      </c>
      <c r="W23" s="145">
        <v>40</v>
      </c>
    </row>
    <row r="24" spans="1:26" x14ac:dyDescent="0.25">
      <c r="A24" s="142" t="s">
        <v>199</v>
      </c>
      <c r="B24" s="145">
        <v>623</v>
      </c>
      <c r="C24" s="145">
        <v>641</v>
      </c>
      <c r="D24" s="145">
        <v>647</v>
      </c>
      <c r="E24" s="145">
        <v>647</v>
      </c>
      <c r="F24" s="145">
        <v>643</v>
      </c>
      <c r="G24" s="145">
        <v>641</v>
      </c>
      <c r="H24" s="145">
        <v>650</v>
      </c>
      <c r="I24" s="145">
        <v>635</v>
      </c>
      <c r="J24" s="145">
        <v>624</v>
      </c>
      <c r="K24" s="145">
        <v>629</v>
      </c>
      <c r="L24" s="145">
        <v>650</v>
      </c>
      <c r="M24" s="145">
        <v>677</v>
      </c>
      <c r="N24" s="145">
        <v>688</v>
      </c>
      <c r="O24" s="145">
        <v>703</v>
      </c>
      <c r="P24" s="145">
        <v>702</v>
      </c>
      <c r="Q24" s="145">
        <v>726</v>
      </c>
      <c r="R24" s="145">
        <v>696</v>
      </c>
      <c r="S24" s="145">
        <v>573</v>
      </c>
      <c r="T24" s="145">
        <v>513</v>
      </c>
      <c r="U24" s="145">
        <v>470</v>
      </c>
      <c r="V24" s="145">
        <v>370</v>
      </c>
      <c r="W24" s="145">
        <v>328</v>
      </c>
    </row>
    <row r="25" spans="1:26"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row>
    <row r="26" spans="1:26" x14ac:dyDescent="0.25">
      <c r="A26" s="141"/>
      <c r="B26" s="141"/>
      <c r="C26" s="141"/>
      <c r="D26" s="141"/>
      <c r="E26" s="141"/>
      <c r="F26" s="141"/>
      <c r="G26" s="141"/>
      <c r="H26" s="141"/>
      <c r="I26" s="141"/>
      <c r="J26" s="141"/>
      <c r="K26" s="141"/>
      <c r="L26" s="141"/>
      <c r="M26" s="141"/>
      <c r="N26" s="141"/>
      <c r="O26" s="141"/>
      <c r="P26" s="141"/>
      <c r="Q26" s="141"/>
      <c r="R26" s="141"/>
      <c r="S26" s="141"/>
      <c r="T26" s="141"/>
      <c r="U26" s="141"/>
      <c r="V26" s="141"/>
      <c r="W26" s="141"/>
    </row>
    <row r="27" spans="1:26" ht="15.75" x14ac:dyDescent="0.25">
      <c r="A27" s="315" t="s">
        <v>292</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8" t="s">
        <v>188</v>
      </c>
      <c r="B28" s="189">
        <v>2001</v>
      </c>
      <c r="C28" s="189">
        <v>2002</v>
      </c>
      <c r="D28" s="189">
        <v>2003</v>
      </c>
      <c r="E28" s="189">
        <v>2004</v>
      </c>
      <c r="F28" s="189">
        <v>2005</v>
      </c>
      <c r="G28" s="189">
        <v>2006</v>
      </c>
      <c r="H28" s="189">
        <v>2007</v>
      </c>
      <c r="I28" s="189">
        <v>2008</v>
      </c>
      <c r="J28" s="189">
        <v>2009</v>
      </c>
      <c r="K28" s="189">
        <v>2010</v>
      </c>
      <c r="L28" s="189">
        <v>2011</v>
      </c>
      <c r="M28" s="189">
        <v>2012</v>
      </c>
      <c r="N28" s="189">
        <v>2013</v>
      </c>
      <c r="O28" s="189">
        <v>2014</v>
      </c>
      <c r="P28" s="189">
        <v>2015</v>
      </c>
      <c r="Q28" s="189">
        <v>2016</v>
      </c>
      <c r="R28" s="189">
        <v>2017</v>
      </c>
      <c r="S28" s="189">
        <v>2018</v>
      </c>
      <c r="T28" s="189">
        <v>2019</v>
      </c>
      <c r="U28" s="189">
        <v>2020</v>
      </c>
      <c r="V28" s="189">
        <v>2021</v>
      </c>
      <c r="W28" s="189">
        <v>2022</v>
      </c>
    </row>
    <row r="29" spans="1:26" ht="15.75" thickBot="1" x14ac:dyDescent="0.3">
      <c r="A29" s="164" t="s">
        <v>286</v>
      </c>
      <c r="B29" s="166">
        <f t="shared" ref="B29:B34" si="5">(B19-B19)/B19</f>
        <v>0</v>
      </c>
      <c r="C29" s="166">
        <f t="shared" ref="C29:C34" si="6">(C19-B19)/B19</f>
        <v>1.4028056112224449E-2</v>
      </c>
      <c r="D29" s="166">
        <f t="shared" ref="D29:D34" si="7">(D19-B19)/B19</f>
        <v>-4.0080160320641281E-2</v>
      </c>
      <c r="E29" s="166">
        <f t="shared" ref="E29:E34" si="8">(E19-B19)/B19</f>
        <v>-4.6092184368737472E-2</v>
      </c>
      <c r="F29" s="166">
        <f t="shared" ref="F29:F34" si="9">(F19-B19)/B19</f>
        <v>-4.8096192384769539E-2</v>
      </c>
      <c r="G29" s="166">
        <f t="shared" ref="G29:G34" si="10">(G19-B19)/B19</f>
        <v>-5.410821643286573E-2</v>
      </c>
      <c r="H29" s="166">
        <f t="shared" ref="H29:H34" si="11">(H19-B19)/B19</f>
        <v>-8.617234468937876E-2</v>
      </c>
      <c r="I29" s="166">
        <f t="shared" ref="I29:I34" si="12">(I19-B19)/B19</f>
        <v>-6.8136272545090179E-2</v>
      </c>
      <c r="J29" s="166">
        <f t="shared" ref="J29:J34" si="13">(J19-B19)/B19</f>
        <v>-0.10220440881763528</v>
      </c>
      <c r="K29" s="166">
        <f t="shared" ref="K29:K34" si="14">(K19-B19)/B19</f>
        <v>-5.410821643286573E-2</v>
      </c>
      <c r="L29" s="166">
        <f t="shared" ref="L29:L34" si="15">(L19-B19)/B19</f>
        <v>2.004008016032064E-2</v>
      </c>
      <c r="M29" s="166">
        <f t="shared" ref="M29:M34" si="16">(M19-B19)/B19</f>
        <v>8.0160320641282558E-3</v>
      </c>
      <c r="N29" s="166">
        <f t="shared" ref="N29:N34" si="17">(N19-B19)/B19</f>
        <v>4.8096192384769539E-2</v>
      </c>
      <c r="O29" s="166">
        <f t="shared" ref="O29:O34" si="18">(O19-B19)/B19</f>
        <v>2.8056112224448898E-2</v>
      </c>
      <c r="P29" s="166">
        <f t="shared" ref="P29:P34" si="19">(P19-B19)/B19</f>
        <v>-2.8056112224448898E-2</v>
      </c>
      <c r="Q29" s="166">
        <f t="shared" ref="Q29:Q34" si="20">(Q19-B19)/B19</f>
        <v>-2.004008016032064E-3</v>
      </c>
      <c r="R29" s="166">
        <f t="shared" ref="R29:R34" si="21">(R19-B19)/B19</f>
        <v>1.4028056112224449E-2</v>
      </c>
      <c r="S29" s="166">
        <f t="shared" ref="S29:S34" si="22">(S19-B19)/B19</f>
        <v>2.004008016032064E-2</v>
      </c>
      <c r="T29" s="166">
        <f t="shared" ref="T29:T34" si="23">(T19-B19)/B19</f>
        <v>0.10220440881763528</v>
      </c>
      <c r="U29" s="166">
        <f t="shared" ref="U29:U34" si="24">(U19-B19)/B19</f>
        <v>-3.6072144288577156E-2</v>
      </c>
      <c r="V29" s="166">
        <f t="shared" ref="V29:V34" si="25">(V19-B19)/B19</f>
        <v>2.4048096192384769E-2</v>
      </c>
      <c r="W29" s="166">
        <f t="shared" ref="W29:W34" si="26">(W19-B19)/B19</f>
        <v>2.004008016032064E-2</v>
      </c>
      <c r="Y29" t="s">
        <v>288</v>
      </c>
      <c r="Z29" s="213">
        <v>1.52</v>
      </c>
    </row>
    <row r="30" spans="1:26" ht="15.75" thickTop="1" x14ac:dyDescent="0.25">
      <c r="A30" s="142" t="s">
        <v>287</v>
      </c>
      <c r="B30" s="146">
        <f t="shared" si="5"/>
        <v>0</v>
      </c>
      <c r="C30" s="146">
        <f t="shared" si="6"/>
        <v>0.1369747899159664</v>
      </c>
      <c r="D30" s="146">
        <f t="shared" si="7"/>
        <v>0.2361344537815126</v>
      </c>
      <c r="E30" s="146">
        <f t="shared" si="8"/>
        <v>0.26134453781512607</v>
      </c>
      <c r="F30" s="146">
        <f t="shared" si="9"/>
        <v>0.28151260504201681</v>
      </c>
      <c r="G30" s="146">
        <f t="shared" si="10"/>
        <v>0.27899159663865547</v>
      </c>
      <c r="H30" s="146">
        <f t="shared" si="11"/>
        <v>0.23865546218487396</v>
      </c>
      <c r="I30" s="146">
        <f t="shared" si="12"/>
        <v>0.21932773109243697</v>
      </c>
      <c r="J30" s="146">
        <f t="shared" si="13"/>
        <v>0.24705882352941178</v>
      </c>
      <c r="K30" s="146">
        <f t="shared" si="14"/>
        <v>0.23109243697478993</v>
      </c>
      <c r="L30" s="146">
        <f t="shared" si="15"/>
        <v>0.20672268907563024</v>
      </c>
      <c r="M30" s="146">
        <f t="shared" si="16"/>
        <v>0.25210084033613445</v>
      </c>
      <c r="N30" s="146">
        <f t="shared" si="17"/>
        <v>0.4</v>
      </c>
      <c r="O30" s="146">
        <f t="shared" si="18"/>
        <v>0.39747899159663863</v>
      </c>
      <c r="P30" s="146">
        <f t="shared" si="19"/>
        <v>0.32689075630252101</v>
      </c>
      <c r="Q30" s="146">
        <f t="shared" si="20"/>
        <v>0.26554621848739496</v>
      </c>
      <c r="R30" s="146">
        <f t="shared" si="21"/>
        <v>0.21092436974789916</v>
      </c>
      <c r="S30" s="146">
        <f t="shared" si="22"/>
        <v>0.2361344537815126</v>
      </c>
      <c r="T30" s="146">
        <f t="shared" si="23"/>
        <v>0.28823529411764703</v>
      </c>
      <c r="U30" s="146">
        <f t="shared" si="24"/>
        <v>0.46218487394957986</v>
      </c>
      <c r="V30" s="146">
        <f t="shared" si="25"/>
        <v>0.79411764705882348</v>
      </c>
      <c r="W30" s="146">
        <f t="shared" si="26"/>
        <v>0.90756302521008403</v>
      </c>
      <c r="Y30" t="s">
        <v>286</v>
      </c>
      <c r="Z30" s="213">
        <v>4.07</v>
      </c>
    </row>
    <row r="31" spans="1:26" x14ac:dyDescent="0.25">
      <c r="A31" s="142" t="s">
        <v>288</v>
      </c>
      <c r="B31" s="146">
        <f t="shared" si="5"/>
        <v>0</v>
      </c>
      <c r="C31" s="146">
        <f t="shared" si="6"/>
        <v>2.7027027027027029E-2</v>
      </c>
      <c r="D31" s="146">
        <f t="shared" si="7"/>
        <v>1.8018018018018018E-2</v>
      </c>
      <c r="E31" s="146">
        <f t="shared" si="8"/>
        <v>9.0090090090090089E-3</v>
      </c>
      <c r="F31" s="146">
        <f t="shared" si="9"/>
        <v>0</v>
      </c>
      <c r="G31" s="146">
        <f t="shared" si="10"/>
        <v>-9.0090090090090089E-3</v>
      </c>
      <c r="H31" s="146">
        <f t="shared" si="11"/>
        <v>0</v>
      </c>
      <c r="I31" s="146">
        <f t="shared" si="12"/>
        <v>5.4054054054054057E-2</v>
      </c>
      <c r="J31" s="146">
        <f t="shared" si="13"/>
        <v>5.4054054054054057E-2</v>
      </c>
      <c r="K31" s="146">
        <f t="shared" si="14"/>
        <v>6.3063063063063057E-2</v>
      </c>
      <c r="L31" s="146">
        <f t="shared" si="15"/>
        <v>0.14414414414414414</v>
      </c>
      <c r="M31" s="146">
        <f t="shared" si="16"/>
        <v>0.11711711711711711</v>
      </c>
      <c r="N31" s="146">
        <f t="shared" si="17"/>
        <v>9.90990990990991E-2</v>
      </c>
      <c r="O31" s="146">
        <f t="shared" si="18"/>
        <v>5.4054054054054057E-2</v>
      </c>
      <c r="P31" s="146">
        <f t="shared" si="19"/>
        <v>2.7027027027027029E-2</v>
      </c>
      <c r="Q31" s="146">
        <f t="shared" si="20"/>
        <v>-1.8018018018018018E-2</v>
      </c>
      <c r="R31" s="146">
        <f t="shared" si="21"/>
        <v>9.0090090090090089E-3</v>
      </c>
      <c r="S31" s="146">
        <f t="shared" si="22"/>
        <v>3.6036036036036036E-2</v>
      </c>
      <c r="T31" s="146">
        <f t="shared" si="23"/>
        <v>0.10810810810810811</v>
      </c>
      <c r="U31" s="146">
        <f t="shared" si="24"/>
        <v>0.29729729729729731</v>
      </c>
      <c r="V31" s="146">
        <f t="shared" si="25"/>
        <v>0.36036036036036034</v>
      </c>
      <c r="W31" s="146">
        <f t="shared" si="26"/>
        <v>0.16216216216216217</v>
      </c>
      <c r="Y31" t="s">
        <v>287</v>
      </c>
      <c r="Z31" s="213">
        <v>5.59</v>
      </c>
    </row>
    <row r="32" spans="1:26" x14ac:dyDescent="0.25">
      <c r="A32" s="142" t="s">
        <v>289</v>
      </c>
      <c r="B32" s="146">
        <f t="shared" si="5"/>
        <v>0</v>
      </c>
      <c r="C32" s="146">
        <f t="shared" si="6"/>
        <v>1.8021793797150042E-2</v>
      </c>
      <c r="D32" s="146">
        <f t="shared" si="7"/>
        <v>1.6764459346186086E-2</v>
      </c>
      <c r="E32" s="146">
        <f t="shared" si="8"/>
        <v>1.8860016764459347E-2</v>
      </c>
      <c r="F32" s="146">
        <f t="shared" si="9"/>
        <v>1.8860016764459347E-2</v>
      </c>
      <c r="G32" s="146">
        <f t="shared" si="10"/>
        <v>1.5926236378876781E-2</v>
      </c>
      <c r="H32" s="146">
        <f t="shared" si="11"/>
        <v>1.550712489522213E-2</v>
      </c>
      <c r="I32" s="146">
        <f t="shared" si="12"/>
        <v>8.3822296730930428E-3</v>
      </c>
      <c r="J32" s="146">
        <f t="shared" si="13"/>
        <v>-5.5322715842414084E-2</v>
      </c>
      <c r="K32" s="146">
        <f t="shared" si="14"/>
        <v>-8.2564962279966472E-2</v>
      </c>
      <c r="L32" s="146">
        <f t="shared" si="15"/>
        <v>-9.0108968985750215E-2</v>
      </c>
      <c r="M32" s="146">
        <f t="shared" si="16"/>
        <v>-9.8072087175188602E-2</v>
      </c>
      <c r="N32" s="146">
        <f t="shared" si="17"/>
        <v>-8.4241408214585076E-2</v>
      </c>
      <c r="O32" s="146">
        <f t="shared" si="18"/>
        <v>-6.7057837384744343E-2</v>
      </c>
      <c r="P32" s="146">
        <f t="shared" si="19"/>
        <v>-4.568315171835708E-2</v>
      </c>
      <c r="Q32" s="146">
        <f t="shared" si="20"/>
        <v>-3.3528918692372171E-3</v>
      </c>
      <c r="R32" s="146">
        <f t="shared" si="21"/>
        <v>2.4308466051969825E-2</v>
      </c>
      <c r="S32" s="146">
        <f t="shared" si="22"/>
        <v>2.1374685666387259E-2</v>
      </c>
      <c r="T32" s="146">
        <f t="shared" si="23"/>
        <v>4.0234702430846606E-2</v>
      </c>
      <c r="U32" s="146">
        <f t="shared" si="24"/>
        <v>-0.22925398155909471</v>
      </c>
      <c r="V32" s="146">
        <f t="shared" si="25"/>
        <v>-0.24559932942162616</v>
      </c>
      <c r="W32" s="146">
        <f t="shared" si="26"/>
        <v>-0.11232187761944677</v>
      </c>
      <c r="Y32" t="s">
        <v>199</v>
      </c>
      <c r="Z32" s="213">
        <v>6.22</v>
      </c>
    </row>
    <row r="33" spans="1:26" x14ac:dyDescent="0.25">
      <c r="A33" s="142" t="s">
        <v>290</v>
      </c>
      <c r="B33" s="146">
        <f t="shared" si="5"/>
        <v>0</v>
      </c>
      <c r="C33" s="146">
        <f t="shared" si="6"/>
        <v>-1.282051282051282E-2</v>
      </c>
      <c r="D33" s="146">
        <f t="shared" si="7"/>
        <v>-3.2051282051282048E-2</v>
      </c>
      <c r="E33" s="146">
        <f t="shared" si="8"/>
        <v>-5.7692307692307696E-2</v>
      </c>
      <c r="F33" s="146">
        <f t="shared" si="9"/>
        <v>-6.4102564102564097E-2</v>
      </c>
      <c r="G33" s="146">
        <f t="shared" si="10"/>
        <v>-0.38461538461538464</v>
      </c>
      <c r="H33" s="146">
        <f t="shared" si="11"/>
        <v>-0.50641025641025639</v>
      </c>
      <c r="I33" s="146">
        <f t="shared" si="12"/>
        <v>-0.51282051282051277</v>
      </c>
      <c r="J33" s="146">
        <f t="shared" si="13"/>
        <v>-0.51282051282051277</v>
      </c>
      <c r="K33" s="146">
        <f t="shared" si="14"/>
        <v>-0.46153846153846156</v>
      </c>
      <c r="L33" s="146">
        <f t="shared" si="15"/>
        <v>-0.45512820512820512</v>
      </c>
      <c r="M33" s="146">
        <f t="shared" si="16"/>
        <v>-0.5</v>
      </c>
      <c r="N33" s="146">
        <f t="shared" si="17"/>
        <v>-0.51923076923076927</v>
      </c>
      <c r="O33" s="146">
        <f t="shared" si="18"/>
        <v>-0.51923076923076927</v>
      </c>
      <c r="P33" s="146">
        <f t="shared" si="19"/>
        <v>-0.53846153846153844</v>
      </c>
      <c r="Q33" s="146">
        <f t="shared" si="20"/>
        <v>-0.55769230769230771</v>
      </c>
      <c r="R33" s="146">
        <f t="shared" si="21"/>
        <v>-0.57692307692307687</v>
      </c>
      <c r="S33" s="146">
        <f t="shared" si="22"/>
        <v>-0.65384615384615385</v>
      </c>
      <c r="T33" s="146">
        <f t="shared" si="23"/>
        <v>-0.67948717948717952</v>
      </c>
      <c r="U33" s="146">
        <f t="shared" si="24"/>
        <v>-0.64743589743589747</v>
      </c>
      <c r="V33" s="146">
        <f t="shared" si="25"/>
        <v>-0.69871794871794868</v>
      </c>
      <c r="W33" s="146">
        <f t="shared" si="26"/>
        <v>-0.74358974358974361</v>
      </c>
      <c r="Y33" t="s">
        <v>290</v>
      </c>
      <c r="Z33" s="213">
        <v>7.05</v>
      </c>
    </row>
    <row r="34" spans="1:26" x14ac:dyDescent="0.25">
      <c r="A34" s="142" t="s">
        <v>199</v>
      </c>
      <c r="B34" s="146">
        <f t="shared" si="5"/>
        <v>0</v>
      </c>
      <c r="C34" s="146">
        <f t="shared" si="6"/>
        <v>2.8892455858747994E-2</v>
      </c>
      <c r="D34" s="146">
        <f t="shared" si="7"/>
        <v>3.8523274478330656E-2</v>
      </c>
      <c r="E34" s="146">
        <f t="shared" si="8"/>
        <v>3.8523274478330656E-2</v>
      </c>
      <c r="F34" s="146">
        <f t="shared" si="9"/>
        <v>3.2102728731942212E-2</v>
      </c>
      <c r="G34" s="146">
        <f t="shared" si="10"/>
        <v>2.8892455858747994E-2</v>
      </c>
      <c r="H34" s="146">
        <f t="shared" si="11"/>
        <v>4.3338683788121987E-2</v>
      </c>
      <c r="I34" s="146">
        <f t="shared" si="12"/>
        <v>1.9261637239165328E-2</v>
      </c>
      <c r="J34" s="146">
        <f t="shared" si="13"/>
        <v>1.6051364365971107E-3</v>
      </c>
      <c r="K34" s="146">
        <f t="shared" si="14"/>
        <v>9.630818619582664E-3</v>
      </c>
      <c r="L34" s="146">
        <f t="shared" si="15"/>
        <v>4.3338683788121987E-2</v>
      </c>
      <c r="M34" s="146">
        <f t="shared" si="16"/>
        <v>8.6677367576243974E-2</v>
      </c>
      <c r="N34" s="146">
        <f t="shared" si="17"/>
        <v>0.1043338683788122</v>
      </c>
      <c r="O34" s="146">
        <f t="shared" si="18"/>
        <v>0.12841091492776885</v>
      </c>
      <c r="P34" s="146">
        <f t="shared" si="19"/>
        <v>0.12680577849117175</v>
      </c>
      <c r="Q34" s="146">
        <f t="shared" si="20"/>
        <v>0.1653290529695024</v>
      </c>
      <c r="R34" s="146">
        <f t="shared" si="21"/>
        <v>0.11717495987158909</v>
      </c>
      <c r="S34" s="146">
        <f t="shared" si="22"/>
        <v>-8.0256821829855537E-2</v>
      </c>
      <c r="T34" s="146">
        <f t="shared" si="23"/>
        <v>-0.17656500802568217</v>
      </c>
      <c r="U34" s="146">
        <f t="shared" si="24"/>
        <v>-0.24558587479935795</v>
      </c>
      <c r="V34" s="146">
        <f t="shared" si="25"/>
        <v>-0.406099518459069</v>
      </c>
      <c r="W34" s="146">
        <f t="shared" si="26"/>
        <v>-0.47351524879614765</v>
      </c>
      <c r="Y34" t="s">
        <v>289</v>
      </c>
      <c r="Z34" s="213">
        <v>8.1</v>
      </c>
    </row>
    <row r="35" spans="1:26" x14ac:dyDescent="0.25">
      <c r="A35" s="1"/>
      <c r="B35" s="1"/>
      <c r="C35" s="1"/>
      <c r="D35" s="38"/>
      <c r="E35" s="1"/>
      <c r="F35" s="1"/>
      <c r="G35" s="1"/>
      <c r="H35" s="1"/>
      <c r="I35" s="1"/>
      <c r="J35" s="1"/>
      <c r="K35" s="1"/>
      <c r="L35" s="1"/>
      <c r="M35" s="1"/>
      <c r="N35" s="1"/>
      <c r="O35" s="39"/>
      <c r="P35" s="1"/>
      <c r="Q35" s="1"/>
      <c r="R35" s="1"/>
      <c r="S35" s="1"/>
      <c r="T35" s="1"/>
      <c r="U35" s="1"/>
      <c r="V35" s="1"/>
      <c r="W35" s="1"/>
    </row>
    <row r="36" spans="1:26" ht="15.75" x14ac:dyDescent="0.25">
      <c r="A36" s="315" t="s">
        <v>293</v>
      </c>
      <c r="B36" s="315"/>
      <c r="C36" s="315"/>
      <c r="D36" s="315"/>
      <c r="E36" s="315"/>
      <c r="F36" s="315"/>
      <c r="G36" s="315"/>
      <c r="H36" s="315"/>
      <c r="I36" s="315"/>
      <c r="J36" s="315"/>
      <c r="K36" s="315"/>
      <c r="L36" s="315"/>
      <c r="M36" s="315"/>
      <c r="N36" s="315"/>
      <c r="O36" s="315"/>
      <c r="P36" s="315"/>
      <c r="Q36" s="315"/>
      <c r="R36" s="315"/>
      <c r="S36" s="315"/>
    </row>
    <row r="37" spans="1:26" x14ac:dyDescent="0.25">
      <c r="A37" s="188" t="s">
        <v>188</v>
      </c>
      <c r="B37" s="189">
        <v>2005</v>
      </c>
      <c r="C37" s="189">
        <v>2006</v>
      </c>
      <c r="D37" s="189">
        <v>2007</v>
      </c>
      <c r="E37" s="189">
        <v>2008</v>
      </c>
      <c r="F37" s="189">
        <v>2009</v>
      </c>
      <c r="G37" s="189">
        <v>2010</v>
      </c>
      <c r="H37" s="189">
        <v>2011</v>
      </c>
      <c r="I37" s="189">
        <v>2012</v>
      </c>
      <c r="J37" s="189">
        <v>2013</v>
      </c>
      <c r="K37" s="189">
        <v>2014</v>
      </c>
      <c r="L37" s="189">
        <v>2015</v>
      </c>
      <c r="M37" s="189">
        <v>2016</v>
      </c>
      <c r="N37" s="189">
        <v>2017</v>
      </c>
      <c r="O37" s="189">
        <v>2018</v>
      </c>
      <c r="P37" s="189">
        <v>2019</v>
      </c>
      <c r="Q37" s="189">
        <v>2020</v>
      </c>
      <c r="R37" s="189">
        <v>2021</v>
      </c>
      <c r="S37" s="189">
        <v>2022</v>
      </c>
    </row>
    <row r="38" spans="1:26" ht="15.75" thickBot="1" x14ac:dyDescent="0.3">
      <c r="A38" s="164" t="s">
        <v>286</v>
      </c>
      <c r="B38" s="167">
        <v>8.32</v>
      </c>
      <c r="C38" s="167">
        <v>9.56</v>
      </c>
      <c r="D38" s="167">
        <v>9.56</v>
      </c>
      <c r="E38" s="167">
        <v>9.4700000000000006</v>
      </c>
      <c r="F38" s="167">
        <v>9.6199999999999992</v>
      </c>
      <c r="G38" s="167">
        <v>9.81</v>
      </c>
      <c r="H38" s="167">
        <v>9.77</v>
      </c>
      <c r="I38" s="167">
        <v>9.1999999999999993</v>
      </c>
      <c r="J38" s="167">
        <v>9.19</v>
      </c>
      <c r="K38" s="167">
        <v>9.34</v>
      </c>
      <c r="L38" s="167">
        <v>9.5</v>
      </c>
      <c r="M38" s="167">
        <v>9.89</v>
      </c>
      <c r="N38" s="167">
        <v>10.19</v>
      </c>
      <c r="O38" s="167">
        <v>10.67</v>
      </c>
      <c r="P38" s="167">
        <v>11.52</v>
      </c>
      <c r="Q38" s="167">
        <v>13.25</v>
      </c>
      <c r="R38" s="167">
        <v>11.81</v>
      </c>
      <c r="S38" s="168">
        <v>12.39</v>
      </c>
      <c r="T38" s="213">
        <f>S38-(B38*1.4985)</f>
        <v>-7.7519999999999811E-2</v>
      </c>
      <c r="U38" s="220">
        <f>T38/B38</f>
        <v>-9.3173076923076699E-3</v>
      </c>
    </row>
    <row r="39" spans="1:26" ht="15.75" thickTop="1" x14ac:dyDescent="0.25">
      <c r="A39" s="142" t="s">
        <v>287</v>
      </c>
      <c r="B39" s="149">
        <v>8.39</v>
      </c>
      <c r="C39" s="149">
        <v>9.31</v>
      </c>
      <c r="D39" s="149">
        <v>9.43</v>
      </c>
      <c r="E39" s="149">
        <v>9.19</v>
      </c>
      <c r="F39" s="149">
        <v>9.9700000000000006</v>
      </c>
      <c r="G39" s="149">
        <v>9.4700000000000006</v>
      </c>
      <c r="H39" s="149">
        <v>9.7799999999999994</v>
      </c>
      <c r="I39" s="149">
        <v>10.039999999999999</v>
      </c>
      <c r="J39" s="149">
        <v>10.07</v>
      </c>
      <c r="K39" s="149">
        <v>10.28</v>
      </c>
      <c r="L39" s="149">
        <v>10.47</v>
      </c>
      <c r="M39" s="149">
        <v>10.76</v>
      </c>
      <c r="N39" s="149">
        <v>10.75</v>
      </c>
      <c r="O39" s="149">
        <v>11.38</v>
      </c>
      <c r="P39" s="149">
        <v>12.25</v>
      </c>
      <c r="Q39" s="149">
        <v>13.34</v>
      </c>
      <c r="R39" s="149">
        <v>12.99</v>
      </c>
      <c r="S39" s="150">
        <v>13.98</v>
      </c>
      <c r="T39" s="213">
        <f t="shared" ref="T39:T43" si="27">S39-(B39*1.4985)</f>
        <v>1.4075849999999992</v>
      </c>
      <c r="U39" s="220">
        <f>T39/B39</f>
        <v>0.16776936829558989</v>
      </c>
    </row>
    <row r="40" spans="1:26" x14ac:dyDescent="0.25">
      <c r="A40" s="142" t="s">
        <v>288</v>
      </c>
      <c r="B40" s="149">
        <v>10.64</v>
      </c>
      <c r="C40" s="149">
        <v>9.0399999999999991</v>
      </c>
      <c r="D40" s="149">
        <v>9.27</v>
      </c>
      <c r="E40" s="149">
        <v>9.4499999999999993</v>
      </c>
      <c r="F40" s="149">
        <v>9.81</v>
      </c>
      <c r="G40" s="149">
        <v>9.84</v>
      </c>
      <c r="H40" s="149">
        <v>9.91</v>
      </c>
      <c r="I40" s="149">
        <v>11.93</v>
      </c>
      <c r="J40" s="149">
        <v>12.54</v>
      </c>
      <c r="K40" s="149">
        <v>11.29</v>
      </c>
      <c r="L40" s="149">
        <v>11.21</v>
      </c>
      <c r="M40" s="149">
        <v>12.35</v>
      </c>
      <c r="N40" s="149">
        <v>13.13</v>
      </c>
      <c r="O40" s="149">
        <v>12.39</v>
      </c>
      <c r="P40" s="149">
        <v>12.45</v>
      </c>
      <c r="Q40" s="149">
        <v>12.03</v>
      </c>
      <c r="R40" s="149">
        <v>11.51</v>
      </c>
      <c r="S40" s="150">
        <v>12.16</v>
      </c>
      <c r="T40" s="213">
        <f t="shared" si="27"/>
        <v>-3.784040000000001</v>
      </c>
      <c r="U40" s="220">
        <f>T40/B40</f>
        <v>-0.3556428571428572</v>
      </c>
    </row>
    <row r="41" spans="1:26" x14ac:dyDescent="0.25">
      <c r="A41" s="142" t="s">
        <v>289</v>
      </c>
      <c r="B41" s="149">
        <v>6.57</v>
      </c>
      <c r="C41" s="149">
        <v>6.76</v>
      </c>
      <c r="D41" s="149">
        <v>7.95</v>
      </c>
      <c r="E41" s="149">
        <v>8.23</v>
      </c>
      <c r="F41" s="149">
        <v>8.69</v>
      </c>
      <c r="G41" s="149">
        <v>9.17</v>
      </c>
      <c r="H41" s="149">
        <v>10.34</v>
      </c>
      <c r="I41" s="149">
        <v>9.4</v>
      </c>
      <c r="J41" s="149">
        <v>9.48</v>
      </c>
      <c r="K41" s="149">
        <v>9.2100000000000009</v>
      </c>
      <c r="L41" s="149">
        <v>9.73</v>
      </c>
      <c r="M41" s="149">
        <v>9.6999999999999993</v>
      </c>
      <c r="N41" s="149">
        <v>10.31</v>
      </c>
      <c r="O41" s="149">
        <v>10.63</v>
      </c>
      <c r="P41" s="149">
        <v>11.83</v>
      </c>
      <c r="Q41" s="149">
        <v>12.01</v>
      </c>
      <c r="R41" s="149">
        <v>13.7</v>
      </c>
      <c r="S41" s="150">
        <v>14.67</v>
      </c>
      <c r="T41" s="213">
        <f t="shared" si="27"/>
        <v>4.8248549999999994</v>
      </c>
      <c r="U41" s="220">
        <f t="shared" ref="U41:U43" si="28">T41/B41</f>
        <v>0.734376712328767</v>
      </c>
    </row>
    <row r="42" spans="1:26" x14ac:dyDescent="0.25">
      <c r="A42" s="142" t="s">
        <v>290</v>
      </c>
      <c r="B42" s="149">
        <v>10.49</v>
      </c>
      <c r="C42" s="149">
        <v>13.99</v>
      </c>
      <c r="D42" s="149">
        <v>14.24</v>
      </c>
      <c r="E42" s="149">
        <v>14.81</v>
      </c>
      <c r="F42" s="149">
        <v>13.54</v>
      </c>
      <c r="G42" s="149">
        <v>14.16</v>
      </c>
      <c r="H42" s="149">
        <v>14.54</v>
      </c>
      <c r="I42" s="149">
        <v>14.18</v>
      </c>
      <c r="J42" s="149">
        <v>14.34</v>
      </c>
      <c r="K42" s="149">
        <v>12.61</v>
      </c>
      <c r="L42" s="149">
        <v>13.84</v>
      </c>
      <c r="M42" s="149">
        <v>14.41</v>
      </c>
      <c r="N42" s="149">
        <v>16.36</v>
      </c>
      <c r="O42" s="149">
        <v>13.15</v>
      </c>
      <c r="P42" s="149">
        <v>13.29</v>
      </c>
      <c r="Q42" s="149">
        <v>14.88</v>
      </c>
      <c r="R42" s="149">
        <v>19.55</v>
      </c>
      <c r="S42" s="150">
        <v>17.54</v>
      </c>
      <c r="T42" s="213">
        <f t="shared" si="27"/>
        <v>1.8207349999999991</v>
      </c>
      <c r="U42" s="220">
        <f t="shared" si="28"/>
        <v>0.17356863679694939</v>
      </c>
    </row>
    <row r="43" spans="1:26" x14ac:dyDescent="0.25">
      <c r="A43" s="142" t="s">
        <v>199</v>
      </c>
      <c r="B43" s="151">
        <v>10.29</v>
      </c>
      <c r="C43" s="151">
        <v>10.32</v>
      </c>
      <c r="D43" s="151">
        <v>10.130000000000001</v>
      </c>
      <c r="E43" s="151">
        <v>10.46</v>
      </c>
      <c r="F43" s="151">
        <v>10.74</v>
      </c>
      <c r="G43" s="151">
        <v>11.52</v>
      </c>
      <c r="H43" s="151">
        <v>11.99</v>
      </c>
      <c r="I43" s="151">
        <v>12.04</v>
      </c>
      <c r="J43" s="151">
        <v>11.63</v>
      </c>
      <c r="K43" s="151">
        <v>10.81</v>
      </c>
      <c r="L43" s="151">
        <v>11.24</v>
      </c>
      <c r="M43" s="151">
        <v>12.26</v>
      </c>
      <c r="N43" s="151">
        <v>12.97</v>
      </c>
      <c r="O43" s="151">
        <v>12.71</v>
      </c>
      <c r="P43" s="151">
        <v>13.27</v>
      </c>
      <c r="Q43" s="151">
        <v>14.83</v>
      </c>
      <c r="R43" s="151">
        <v>15.87</v>
      </c>
      <c r="S43" s="152">
        <v>16.510000000000002</v>
      </c>
      <c r="T43" s="213">
        <f t="shared" si="27"/>
        <v>1.0904350000000029</v>
      </c>
      <c r="U43" s="220">
        <f t="shared" si="28"/>
        <v>0.10597035957240068</v>
      </c>
    </row>
    <row r="44" spans="1:26" x14ac:dyDescent="0.25">
      <c r="A44" s="1"/>
      <c r="B44" s="1"/>
      <c r="C44" s="1"/>
      <c r="D44" s="1"/>
      <c r="E44" s="1"/>
      <c r="F44" s="1"/>
      <c r="G44" s="1"/>
      <c r="H44" s="1"/>
      <c r="I44" s="1"/>
      <c r="J44" s="1"/>
      <c r="K44" s="39"/>
      <c r="L44" s="1"/>
      <c r="M44" s="1"/>
      <c r="N44" s="1"/>
      <c r="O44" s="1"/>
      <c r="P44" s="1"/>
      <c r="Q44" s="1"/>
      <c r="R44" s="1"/>
      <c r="S44" s="1"/>
    </row>
    <row r="45" spans="1:26" x14ac:dyDescent="0.25">
      <c r="A45" s="1"/>
      <c r="B45" s="1"/>
      <c r="C45" s="1"/>
      <c r="D45" s="1"/>
      <c r="E45" s="1"/>
      <c r="F45" s="1"/>
      <c r="G45" s="1"/>
      <c r="H45" s="1"/>
      <c r="I45" s="1"/>
      <c r="J45" s="1"/>
      <c r="K45" s="39"/>
      <c r="L45" s="1"/>
      <c r="M45" s="1"/>
      <c r="N45" s="1"/>
      <c r="O45" s="1"/>
      <c r="P45" s="1"/>
      <c r="Q45" s="1"/>
      <c r="R45" s="1"/>
      <c r="S45" s="1"/>
    </row>
    <row r="46" spans="1:26" ht="15.75" x14ac:dyDescent="0.25">
      <c r="A46" s="315" t="s">
        <v>294</v>
      </c>
      <c r="B46" s="315"/>
      <c r="C46" s="315"/>
      <c r="D46" s="315"/>
      <c r="E46" s="315"/>
      <c r="F46" s="315"/>
      <c r="G46" s="315"/>
      <c r="H46" s="315"/>
      <c r="I46" s="315"/>
      <c r="J46" s="315"/>
      <c r="K46" s="315"/>
      <c r="L46" s="315"/>
      <c r="M46" s="315"/>
      <c r="N46" s="315"/>
      <c r="O46" s="315"/>
      <c r="P46" s="315"/>
      <c r="Q46" s="315"/>
      <c r="R46" s="315"/>
      <c r="S46" s="315"/>
    </row>
    <row r="47" spans="1:26" x14ac:dyDescent="0.25">
      <c r="A47" s="188" t="s">
        <v>188</v>
      </c>
      <c r="B47" s="189">
        <v>2005</v>
      </c>
      <c r="C47" s="189">
        <v>2006</v>
      </c>
      <c r="D47" s="189">
        <v>2007</v>
      </c>
      <c r="E47" s="189">
        <v>2008</v>
      </c>
      <c r="F47" s="189">
        <v>2009</v>
      </c>
      <c r="G47" s="189">
        <v>2010</v>
      </c>
      <c r="H47" s="189">
        <v>2011</v>
      </c>
      <c r="I47" s="189">
        <v>2012</v>
      </c>
      <c r="J47" s="189">
        <v>2013</v>
      </c>
      <c r="K47" s="189">
        <v>2014</v>
      </c>
      <c r="L47" s="189">
        <v>2015</v>
      </c>
      <c r="M47" s="189">
        <v>2016</v>
      </c>
      <c r="N47" s="189">
        <v>2017</v>
      </c>
      <c r="O47" s="189">
        <v>2018</v>
      </c>
      <c r="P47" s="189">
        <v>2019</v>
      </c>
      <c r="Q47" s="189">
        <v>2020</v>
      </c>
      <c r="R47" s="189">
        <v>2021</v>
      </c>
      <c r="S47" s="189">
        <v>2022</v>
      </c>
    </row>
    <row r="48" spans="1:26" ht="15.75" thickBot="1" x14ac:dyDescent="0.3">
      <c r="A48" s="164" t="s">
        <v>286</v>
      </c>
      <c r="B48" s="166">
        <f>(B38-B38)/B38</f>
        <v>0</v>
      </c>
      <c r="C48" s="166">
        <f>(C38-B38)/B38</f>
        <v>0.14903846153846156</v>
      </c>
      <c r="D48" s="166">
        <f>(D38-B38)/B38</f>
        <v>0.14903846153846156</v>
      </c>
      <c r="E48" s="166">
        <f>(E38-B38)/B38</f>
        <v>0.13822115384615388</v>
      </c>
      <c r="F48" s="166">
        <f>(F38-B38)/B38</f>
        <v>0.15624999999999986</v>
      </c>
      <c r="G48" s="166">
        <f>(G38-B38)/B38</f>
        <v>0.17908653846153849</v>
      </c>
      <c r="H48" s="166">
        <f>(H38-B38)/B38</f>
        <v>0.17427884615384606</v>
      </c>
      <c r="I48" s="166">
        <f>(I38-B38)/B38</f>
        <v>0.10576923076923064</v>
      </c>
      <c r="J48" s="166">
        <f>(J38-B38)/B38</f>
        <v>0.1045673076923076</v>
      </c>
      <c r="K48" s="166">
        <f>(K38-B38)/B38</f>
        <v>0.12259615384615379</v>
      </c>
      <c r="L48" s="166">
        <f>(L38-B38)/B38</f>
        <v>0.14182692307692304</v>
      </c>
      <c r="M48" s="166">
        <f>(M38-B38)/B38</f>
        <v>0.1887019230769231</v>
      </c>
      <c r="N48" s="166">
        <f>(N38-B38)/B38</f>
        <v>0.22475961538461528</v>
      </c>
      <c r="O48" s="166">
        <f>(O38-B38)/B38</f>
        <v>0.28245192307692302</v>
      </c>
      <c r="P48" s="166">
        <f>(P38-B38)/B38</f>
        <v>0.38461538461538453</v>
      </c>
      <c r="Q48" s="166">
        <f>(Q38-B38)/B38</f>
        <v>0.59254807692307687</v>
      </c>
      <c r="R48" s="166">
        <f>(R38-B38)/B38</f>
        <v>0.41947115384615385</v>
      </c>
      <c r="S48" s="166">
        <f>(S38-B38)/B38</f>
        <v>0.48918269230769235</v>
      </c>
    </row>
    <row r="49" spans="1:19" ht="15.75" thickTop="1" x14ac:dyDescent="0.25">
      <c r="A49" s="142" t="s">
        <v>287</v>
      </c>
      <c r="B49" s="146">
        <f>(B39-B39)/B39</f>
        <v>0</v>
      </c>
      <c r="C49" s="146">
        <f>(C39-B39)/B39</f>
        <v>0.10965435041716327</v>
      </c>
      <c r="D49" s="146">
        <f>(D39-B39)/B39</f>
        <v>0.12395709177592361</v>
      </c>
      <c r="E49" s="146">
        <f>(E39-B39)/B39</f>
        <v>9.5351609058402731E-2</v>
      </c>
      <c r="F49" s="146">
        <f>(F39-B39)/B39</f>
        <v>0.18831942789034564</v>
      </c>
      <c r="G49" s="146">
        <f>(G39-B39)/B39</f>
        <v>0.12872467222884387</v>
      </c>
      <c r="H49" s="146">
        <f>(H39-B39)/B39</f>
        <v>0.16567342073897481</v>
      </c>
      <c r="I49" s="146">
        <f>(I39-B39)/B39</f>
        <v>0.19666269368295572</v>
      </c>
      <c r="J49" s="146">
        <f>(J39-B39)/B39</f>
        <v>0.20023837902264596</v>
      </c>
      <c r="K49" s="146">
        <f>(K39-B39)/B39</f>
        <v>0.22526817640047661</v>
      </c>
      <c r="L49" s="146">
        <f>(L39-B39)/B39</f>
        <v>0.24791418355184744</v>
      </c>
      <c r="M49" s="146">
        <f>(M39-B39)/B39</f>
        <v>0.28247914183551837</v>
      </c>
      <c r="N49" s="146">
        <f>(N39-B39)/B39</f>
        <v>0.28128724672228833</v>
      </c>
      <c r="O49" s="146">
        <f>(O39-B39)/B39</f>
        <v>0.35637663885578069</v>
      </c>
      <c r="P49" s="146">
        <f>(P39-B39)/B39</f>
        <v>0.46007151370679372</v>
      </c>
      <c r="Q49" s="146">
        <f>(Q39-B39)/B39</f>
        <v>0.58998808104886757</v>
      </c>
      <c r="R49" s="146">
        <f>(R39-B39)/B39</f>
        <v>0.54827175208581636</v>
      </c>
      <c r="S49" s="146">
        <f>(S39-B39)/B39</f>
        <v>0.66626936829558991</v>
      </c>
    </row>
    <row r="50" spans="1:19" x14ac:dyDescent="0.25">
      <c r="A50" s="142" t="s">
        <v>288</v>
      </c>
      <c r="B50" s="146">
        <f t="shared" ref="B50:B53" si="29">(B40-B40)/B40</f>
        <v>0</v>
      </c>
      <c r="C50" s="146">
        <f t="shared" ref="C50:C53" si="30">(C40-B40)/B40</f>
        <v>-0.15037593984962419</v>
      </c>
      <c r="D50" s="146">
        <f t="shared" ref="D50:D53" si="31">(D40-B40)/B40</f>
        <v>-0.12875939849624068</v>
      </c>
      <c r="E50" s="146">
        <f t="shared" ref="E50:E53" si="32">(E40-B40)/B40</f>
        <v>-0.11184210526315801</v>
      </c>
      <c r="F50" s="146">
        <f t="shared" ref="F50:F53" si="33">(F40-B40)/B40</f>
        <v>-7.8007518796992484E-2</v>
      </c>
      <c r="G50" s="146">
        <f t="shared" ref="G50:G53" si="34">(G40-B40)/B40</f>
        <v>-7.5187969924812095E-2</v>
      </c>
      <c r="H50" s="146">
        <f t="shared" ref="H50:H53" si="35">(H40-B40)/B40</f>
        <v>-6.8609022556391008E-2</v>
      </c>
      <c r="I50" s="146">
        <f t="shared" ref="I50:I53" si="36">(I40-B40)/B40</f>
        <v>0.12124060150375932</v>
      </c>
      <c r="J50" s="146">
        <f t="shared" ref="J50:J53" si="37">(J40-B40)/B40</f>
        <v>0.17857142857142844</v>
      </c>
      <c r="K50" s="146">
        <f t="shared" ref="K50:K53" si="38">(K40-B40)/B40</f>
        <v>6.1090225563909639E-2</v>
      </c>
      <c r="L50" s="146">
        <f t="shared" ref="L50:L53" si="39">(L40-B40)/B40</f>
        <v>5.3571428571428596E-2</v>
      </c>
      <c r="M50" s="146">
        <f t="shared" ref="M50:M53" si="40">(M40-B40)/B40</f>
        <v>0.16071428571428562</v>
      </c>
      <c r="N50" s="146">
        <f t="shared" ref="N50:N53" si="41">(N40-B40)/B40</f>
        <v>0.23402255639097744</v>
      </c>
      <c r="O50" s="146">
        <f t="shared" ref="O50:O53" si="42">(O40-B40)/B40</f>
        <v>0.1644736842105263</v>
      </c>
      <c r="P50" s="146">
        <f t="shared" ref="P50:P53" si="43">(P40-B40)/B40</f>
        <v>0.17011278195488708</v>
      </c>
      <c r="Q50" s="146">
        <f t="shared" ref="Q50:Q53" si="44">(Q40-B40)/B40</f>
        <v>0.13063909774436078</v>
      </c>
      <c r="R50" s="146">
        <f t="shared" ref="R50:R53" si="45">(R40-B40)/B40</f>
        <v>8.1766917293233002E-2</v>
      </c>
      <c r="S50" s="146">
        <f t="shared" ref="S50:S52" si="46">(S40-B40)/B40</f>
        <v>0.14285714285714282</v>
      </c>
    </row>
    <row r="51" spans="1:19" x14ac:dyDescent="0.25">
      <c r="A51" s="142" t="s">
        <v>289</v>
      </c>
      <c r="B51" s="146">
        <f t="shared" si="29"/>
        <v>0</v>
      </c>
      <c r="C51" s="146">
        <f t="shared" si="30"/>
        <v>2.8919330289193225E-2</v>
      </c>
      <c r="D51" s="146">
        <f t="shared" si="31"/>
        <v>0.21004566210045661</v>
      </c>
      <c r="E51" s="146">
        <f t="shared" si="32"/>
        <v>0.25266362252663621</v>
      </c>
      <c r="F51" s="146">
        <f t="shared" si="33"/>
        <v>0.3226788432267883</v>
      </c>
      <c r="G51" s="146">
        <f t="shared" si="34"/>
        <v>0.39573820395738196</v>
      </c>
      <c r="H51" s="146">
        <f t="shared" si="35"/>
        <v>0.57382039573820387</v>
      </c>
      <c r="I51" s="146">
        <f t="shared" si="36"/>
        <v>0.43074581430745812</v>
      </c>
      <c r="J51" s="146">
        <f t="shared" si="37"/>
        <v>0.44292237442922372</v>
      </c>
      <c r="K51" s="146">
        <f t="shared" si="38"/>
        <v>0.40182648401826493</v>
      </c>
      <c r="L51" s="146">
        <f t="shared" si="39"/>
        <v>0.48097412480974122</v>
      </c>
      <c r="M51" s="146">
        <f t="shared" si="40"/>
        <v>0.47640791476407895</v>
      </c>
      <c r="N51" s="146">
        <f t="shared" si="41"/>
        <v>0.56925418569254183</v>
      </c>
      <c r="O51" s="146">
        <f t="shared" si="42"/>
        <v>0.61796042617960434</v>
      </c>
      <c r="P51" s="146">
        <f t="shared" si="43"/>
        <v>0.80060882800608824</v>
      </c>
      <c r="Q51" s="146">
        <f t="shared" si="44"/>
        <v>0.82800608828006073</v>
      </c>
      <c r="R51" s="146">
        <f t="shared" si="45"/>
        <v>1.085235920852359</v>
      </c>
      <c r="S51" s="146">
        <f t="shared" si="46"/>
        <v>1.2328767123287669</v>
      </c>
    </row>
    <row r="52" spans="1:19" x14ac:dyDescent="0.25">
      <c r="A52" s="142" t="s">
        <v>290</v>
      </c>
      <c r="B52" s="146">
        <f t="shared" si="29"/>
        <v>0</v>
      </c>
      <c r="C52" s="146">
        <f t="shared" si="30"/>
        <v>0.33365109628217349</v>
      </c>
      <c r="D52" s="146">
        <f t="shared" si="31"/>
        <v>0.35748331744518591</v>
      </c>
      <c r="E52" s="146">
        <f t="shared" si="32"/>
        <v>0.41182078169685415</v>
      </c>
      <c r="F52" s="146">
        <f t="shared" si="33"/>
        <v>0.29075309818875106</v>
      </c>
      <c r="G52" s="146">
        <f t="shared" si="34"/>
        <v>0.34985700667302189</v>
      </c>
      <c r="H52" s="146">
        <f t="shared" si="35"/>
        <v>0.38608198284080064</v>
      </c>
      <c r="I52" s="146">
        <f t="shared" si="36"/>
        <v>0.35176358436606286</v>
      </c>
      <c r="J52" s="146">
        <f t="shared" si="37"/>
        <v>0.3670162059103908</v>
      </c>
      <c r="K52" s="146">
        <f t="shared" si="38"/>
        <v>0.20209723546234501</v>
      </c>
      <c r="L52" s="146">
        <f t="shared" si="39"/>
        <v>0.31935176358436601</v>
      </c>
      <c r="M52" s="146">
        <f t="shared" si="40"/>
        <v>0.37368922783603431</v>
      </c>
      <c r="N52" s="146">
        <f t="shared" si="41"/>
        <v>0.55958055290753095</v>
      </c>
      <c r="O52" s="146">
        <f t="shared" si="42"/>
        <v>0.25357483317445184</v>
      </c>
      <c r="P52" s="146">
        <f t="shared" si="43"/>
        <v>0.26692087702573869</v>
      </c>
      <c r="Q52" s="146">
        <f t="shared" si="44"/>
        <v>0.41849380362249766</v>
      </c>
      <c r="R52" s="146">
        <f t="shared" si="45"/>
        <v>0.86367969494756913</v>
      </c>
      <c r="S52" s="146">
        <f t="shared" si="46"/>
        <v>0.67206863679694939</v>
      </c>
    </row>
    <row r="53" spans="1:19" x14ac:dyDescent="0.25">
      <c r="A53" s="142" t="s">
        <v>199</v>
      </c>
      <c r="B53" s="146">
        <f t="shared" si="29"/>
        <v>0</v>
      </c>
      <c r="C53" s="146">
        <f t="shared" si="30"/>
        <v>2.9154518950438423E-3</v>
      </c>
      <c r="D53" s="146">
        <f t="shared" si="31"/>
        <v>-1.5549076773566413E-2</v>
      </c>
      <c r="E53" s="146">
        <f t="shared" si="32"/>
        <v>1.6520894071914646E-2</v>
      </c>
      <c r="F53" s="146">
        <f t="shared" si="33"/>
        <v>4.3731778425656086E-2</v>
      </c>
      <c r="G53" s="146">
        <f t="shared" si="34"/>
        <v>0.11953352769679305</v>
      </c>
      <c r="H53" s="146">
        <f t="shared" si="35"/>
        <v>0.16520894071914491</v>
      </c>
      <c r="I53" s="146">
        <f t="shared" si="36"/>
        <v>0.17006802721088438</v>
      </c>
      <c r="J53" s="146">
        <f t="shared" si="37"/>
        <v>0.1302235179786202</v>
      </c>
      <c r="K53" s="146">
        <f t="shared" si="38"/>
        <v>5.0534499514091488E-2</v>
      </c>
      <c r="L53" s="146">
        <f t="shared" si="39"/>
        <v>9.2322643343051611E-2</v>
      </c>
      <c r="M53" s="146">
        <f t="shared" si="40"/>
        <v>0.19144800777453846</v>
      </c>
      <c r="N53" s="146">
        <f t="shared" si="41"/>
        <v>0.26044703595724022</v>
      </c>
      <c r="O53" s="146">
        <f t="shared" si="42"/>
        <v>0.23517978620019456</v>
      </c>
      <c r="P53" s="146">
        <f t="shared" si="43"/>
        <v>0.28960155490767742</v>
      </c>
      <c r="Q53" s="146">
        <f t="shared" si="44"/>
        <v>0.44120505344995153</v>
      </c>
      <c r="R53" s="146">
        <f t="shared" si="45"/>
        <v>0.54227405247813421</v>
      </c>
      <c r="S53" s="146">
        <f>(S43-B43)/B43</f>
        <v>0.6044703595724007</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topLeftCell="G1" zoomScaleNormal="100" workbookViewId="0">
      <selection activeCell="U28" sqref="U28"/>
    </sheetView>
  </sheetViews>
  <sheetFormatPr defaultColWidth="9.140625" defaultRowHeight="14.25" x14ac:dyDescent="0.2"/>
  <cols>
    <col min="1" max="1" width="28.28515625" style="1" customWidth="1"/>
    <col min="2" max="3" width="10.140625" style="1" bestFit="1" customWidth="1"/>
    <col min="4" max="4" width="10.140625" style="38" bestFit="1" customWidth="1"/>
    <col min="5" max="5" width="10.7109375" style="1" customWidth="1"/>
    <col min="6" max="14" width="10.140625" style="1" bestFit="1" customWidth="1"/>
    <col min="15" max="15" width="10.140625" style="39"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3" customWidth="1"/>
    <col min="37" max="16384" width="9.140625" style="1"/>
  </cols>
  <sheetData>
    <row r="1" spans="1:28" ht="23.25" x14ac:dyDescent="0.35">
      <c r="A1" s="262" t="s">
        <v>295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296</v>
      </c>
      <c r="B3" s="315"/>
      <c r="C3" s="315"/>
      <c r="D3" s="315"/>
      <c r="E3" s="315"/>
      <c r="F3" s="315"/>
      <c r="G3" s="315"/>
      <c r="H3" s="315"/>
      <c r="I3" s="315"/>
      <c r="J3" s="315"/>
      <c r="K3" s="315"/>
      <c r="L3" s="315"/>
      <c r="M3" s="315"/>
      <c r="N3" s="315"/>
      <c r="O3" s="315"/>
      <c r="P3" s="315"/>
      <c r="Q3" s="315"/>
      <c r="R3" s="315"/>
      <c r="S3" s="315"/>
      <c r="T3" s="315"/>
      <c r="U3" s="315"/>
      <c r="V3" s="315"/>
      <c r="W3" s="315"/>
      <c r="X3" s="141"/>
    </row>
    <row r="4" spans="1:28" x14ac:dyDescent="0.2">
      <c r="A4" s="188" t="s">
        <v>188</v>
      </c>
      <c r="B4" s="189">
        <v>2001</v>
      </c>
      <c r="C4" s="189">
        <v>2002</v>
      </c>
      <c r="D4" s="189">
        <v>2003</v>
      </c>
      <c r="E4" s="189">
        <v>2004</v>
      </c>
      <c r="F4" s="189">
        <v>2005</v>
      </c>
      <c r="G4" s="189">
        <v>2006</v>
      </c>
      <c r="H4" s="189">
        <v>2007</v>
      </c>
      <c r="I4" s="189">
        <v>2008</v>
      </c>
      <c r="J4" s="189">
        <v>2009</v>
      </c>
      <c r="K4" s="189">
        <v>2010</v>
      </c>
      <c r="L4" s="189">
        <v>2011</v>
      </c>
      <c r="M4" s="189">
        <v>2012</v>
      </c>
      <c r="N4" s="189">
        <v>2013</v>
      </c>
      <c r="O4" s="189">
        <v>2014</v>
      </c>
      <c r="P4" s="189">
        <v>2015</v>
      </c>
      <c r="Q4" s="189">
        <v>2016</v>
      </c>
      <c r="R4" s="189">
        <v>2017</v>
      </c>
      <c r="S4" s="189">
        <v>2018</v>
      </c>
      <c r="T4" s="189">
        <v>2019</v>
      </c>
      <c r="U4" s="189">
        <v>2020</v>
      </c>
      <c r="V4" s="189">
        <v>2021</v>
      </c>
      <c r="W4" s="189">
        <v>2022</v>
      </c>
      <c r="X4" s="141"/>
    </row>
    <row r="5" spans="1:28" x14ac:dyDescent="0.2">
      <c r="A5" s="142" t="s">
        <v>225</v>
      </c>
      <c r="B5" s="143">
        <f>'4C'!B19</f>
        <v>499</v>
      </c>
      <c r="C5" s="143">
        <f>'4C'!C19</f>
        <v>506</v>
      </c>
      <c r="D5" s="143">
        <f>'4C'!D19</f>
        <v>479</v>
      </c>
      <c r="E5" s="143">
        <f>'4C'!E19</f>
        <v>476</v>
      </c>
      <c r="F5" s="143">
        <f>'4C'!F19</f>
        <v>475</v>
      </c>
      <c r="G5" s="143">
        <f>'4C'!G19</f>
        <v>472</v>
      </c>
      <c r="H5" s="143">
        <f>'4C'!H19</f>
        <v>456</v>
      </c>
      <c r="I5" s="143">
        <f>'4C'!I19</f>
        <v>465</v>
      </c>
      <c r="J5" s="143">
        <f>'4C'!J19</f>
        <v>448</v>
      </c>
      <c r="K5" s="143">
        <f>'4C'!K19</f>
        <v>472</v>
      </c>
      <c r="L5" s="143">
        <f>'4C'!L19</f>
        <v>509</v>
      </c>
      <c r="M5" s="143">
        <f>'4C'!M19</f>
        <v>503</v>
      </c>
      <c r="N5" s="143">
        <f>'4C'!N19</f>
        <v>523</v>
      </c>
      <c r="O5" s="143">
        <f>'4C'!O19</f>
        <v>513</v>
      </c>
      <c r="P5" s="143">
        <f>'4C'!P19</f>
        <v>485</v>
      </c>
      <c r="Q5" s="143">
        <f>'4C'!Q19</f>
        <v>498</v>
      </c>
      <c r="R5" s="143">
        <f>'4C'!R19</f>
        <v>506</v>
      </c>
      <c r="S5" s="143">
        <f>'4C'!S19</f>
        <v>509</v>
      </c>
      <c r="T5" s="143">
        <f>'4C'!T19</f>
        <v>550</v>
      </c>
      <c r="U5" s="143">
        <f>'4C'!U19</f>
        <v>481</v>
      </c>
      <c r="V5" s="143">
        <f>'4C'!V19</f>
        <v>511</v>
      </c>
      <c r="W5" s="143">
        <f>'4C'!W19</f>
        <v>509</v>
      </c>
      <c r="X5" s="144"/>
    </row>
    <row r="6" spans="1:28" x14ac:dyDescent="0.2">
      <c r="A6" s="142" t="s">
        <v>226</v>
      </c>
      <c r="B6" s="143">
        <v>19540</v>
      </c>
      <c r="C6" s="143">
        <v>19803</v>
      </c>
      <c r="D6" s="143">
        <v>19307</v>
      </c>
      <c r="E6" s="143">
        <v>19081</v>
      </c>
      <c r="F6" s="143">
        <v>19075</v>
      </c>
      <c r="G6" s="143">
        <v>18870</v>
      </c>
      <c r="H6" s="143">
        <v>18326</v>
      </c>
      <c r="I6" s="143">
        <v>17957</v>
      </c>
      <c r="J6" s="143">
        <v>17742</v>
      </c>
      <c r="K6" s="143">
        <v>18369</v>
      </c>
      <c r="L6" s="143">
        <v>19263</v>
      </c>
      <c r="M6" s="143">
        <v>19729</v>
      </c>
      <c r="N6" s="143">
        <v>19523</v>
      </c>
      <c r="O6" s="143">
        <v>19384</v>
      </c>
      <c r="P6" s="143">
        <v>19451</v>
      </c>
      <c r="Q6" s="143">
        <v>20038</v>
      </c>
      <c r="R6" s="143">
        <v>20443</v>
      </c>
      <c r="S6" s="143">
        <v>21348</v>
      </c>
      <c r="T6" s="143">
        <v>21571</v>
      </c>
      <c r="U6" s="143">
        <v>17385</v>
      </c>
      <c r="V6" s="143">
        <v>16761</v>
      </c>
      <c r="W6" s="143">
        <v>18211</v>
      </c>
      <c r="X6" s="144"/>
    </row>
    <row r="7" spans="1:28" x14ac:dyDescent="0.2">
      <c r="A7" s="142" t="s">
        <v>227</v>
      </c>
      <c r="B7" s="143">
        <v>674323</v>
      </c>
      <c r="C7" s="143">
        <v>686234</v>
      </c>
      <c r="D7" s="143">
        <v>692659</v>
      </c>
      <c r="E7" s="143">
        <v>699906</v>
      </c>
      <c r="F7" s="143">
        <v>712009</v>
      </c>
      <c r="G7" s="143">
        <v>730438</v>
      </c>
      <c r="H7" s="143">
        <v>738651</v>
      </c>
      <c r="I7" s="143">
        <v>749998</v>
      </c>
      <c r="J7" s="143">
        <v>766187</v>
      </c>
      <c r="K7" s="143">
        <v>784548</v>
      </c>
      <c r="L7" s="143">
        <v>809146</v>
      </c>
      <c r="M7" s="143">
        <v>838462</v>
      </c>
      <c r="N7" s="143">
        <v>678650</v>
      </c>
      <c r="O7" s="143">
        <v>672091</v>
      </c>
      <c r="P7" s="143">
        <v>666453</v>
      </c>
      <c r="Q7" s="143">
        <v>664414</v>
      </c>
      <c r="R7" s="143">
        <v>660262</v>
      </c>
      <c r="S7" s="143">
        <v>666704</v>
      </c>
      <c r="T7" s="143">
        <v>661759</v>
      </c>
      <c r="U7" s="143">
        <v>557291</v>
      </c>
      <c r="V7" s="143">
        <v>517502</v>
      </c>
      <c r="W7" s="143">
        <v>533500</v>
      </c>
      <c r="X7" s="144"/>
    </row>
    <row r="8" spans="1:28" ht="15.75" x14ac:dyDescent="0.25">
      <c r="A8" s="141"/>
      <c r="B8" s="141"/>
      <c r="C8" s="141"/>
      <c r="D8" s="141"/>
      <c r="E8" s="141"/>
      <c r="F8" s="141"/>
      <c r="G8" s="141"/>
      <c r="H8" s="141"/>
      <c r="I8" s="141"/>
      <c r="J8" s="141"/>
      <c r="K8" s="141"/>
      <c r="L8" s="141"/>
      <c r="M8" s="141"/>
      <c r="N8" s="141"/>
      <c r="O8" s="141"/>
      <c r="P8" s="141"/>
      <c r="Q8" s="141"/>
      <c r="R8" s="141"/>
      <c r="S8" s="141"/>
      <c r="T8" s="141"/>
      <c r="U8" s="141"/>
      <c r="V8" s="141"/>
      <c r="W8" s="141"/>
      <c r="X8" s="144"/>
      <c r="Y8" s="148"/>
      <c r="Z8" s="147"/>
    </row>
    <row r="9" spans="1:28" x14ac:dyDescent="0.2">
      <c r="A9" s="141"/>
      <c r="B9" s="141"/>
      <c r="C9" s="141"/>
      <c r="D9" s="141"/>
      <c r="E9" s="141"/>
      <c r="F9" s="141"/>
      <c r="G9" s="141"/>
      <c r="H9" s="141"/>
      <c r="I9" s="141"/>
      <c r="J9" s="141"/>
      <c r="K9" s="141"/>
      <c r="L9" s="141"/>
      <c r="M9" s="141"/>
      <c r="N9" s="141"/>
      <c r="O9" s="141"/>
      <c r="P9" s="141"/>
      <c r="Q9" s="141"/>
      <c r="R9" s="141"/>
      <c r="S9" s="141"/>
      <c r="T9" s="141"/>
      <c r="U9" s="141"/>
      <c r="V9" s="141"/>
      <c r="W9" s="141"/>
    </row>
    <row r="10" spans="1:28" ht="15.75" x14ac:dyDescent="0.25">
      <c r="A10" s="315" t="s">
        <v>297</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8" t="s">
        <v>188</v>
      </c>
      <c r="B11" s="189">
        <v>2001</v>
      </c>
      <c r="C11" s="189">
        <v>2002</v>
      </c>
      <c r="D11" s="189">
        <v>2003</v>
      </c>
      <c r="E11" s="189">
        <v>2004</v>
      </c>
      <c r="F11" s="189">
        <v>2005</v>
      </c>
      <c r="G11" s="189">
        <v>2006</v>
      </c>
      <c r="H11" s="189">
        <v>2007</v>
      </c>
      <c r="I11" s="189">
        <v>2008</v>
      </c>
      <c r="J11" s="189">
        <v>2009</v>
      </c>
      <c r="K11" s="189">
        <v>2010</v>
      </c>
      <c r="L11" s="189">
        <v>2011</v>
      </c>
      <c r="M11" s="189">
        <v>2012</v>
      </c>
      <c r="N11" s="189">
        <v>2013</v>
      </c>
      <c r="O11" s="189">
        <v>2014</v>
      </c>
      <c r="P11" s="189">
        <v>2015</v>
      </c>
      <c r="Q11" s="189">
        <v>2016</v>
      </c>
      <c r="R11" s="189">
        <v>2017</v>
      </c>
      <c r="S11" s="189">
        <v>2018</v>
      </c>
      <c r="T11" s="189">
        <v>2019</v>
      </c>
      <c r="U11" s="189">
        <v>2020</v>
      </c>
      <c r="V11" s="189">
        <v>2021</v>
      </c>
      <c r="W11" s="189">
        <v>2022</v>
      </c>
    </row>
    <row r="12" spans="1:28" x14ac:dyDescent="0.2">
      <c r="A12" s="142" t="s">
        <v>225</v>
      </c>
      <c r="B12" s="169">
        <f>(B5-B5)/B5</f>
        <v>0</v>
      </c>
      <c r="C12" s="169">
        <f>(C5-B5)/B5</f>
        <v>1.4028056112224449E-2</v>
      </c>
      <c r="D12" s="169">
        <f>(D5-B5)/B5</f>
        <v>-4.0080160320641281E-2</v>
      </c>
      <c r="E12" s="169">
        <f>(E5-B5)/B5</f>
        <v>-4.6092184368737472E-2</v>
      </c>
      <c r="F12" s="169">
        <f>(F5-B5)/B5</f>
        <v>-4.8096192384769539E-2</v>
      </c>
      <c r="G12" s="169">
        <f>(G5-B5)/B5</f>
        <v>-5.410821643286573E-2</v>
      </c>
      <c r="H12" s="169">
        <f>(H5-B5)/B5</f>
        <v>-8.617234468937876E-2</v>
      </c>
      <c r="I12" s="169">
        <f>(I5-B5)/B5</f>
        <v>-6.8136272545090179E-2</v>
      </c>
      <c r="J12" s="169">
        <f>(J5-B5)/B5</f>
        <v>-0.10220440881763528</v>
      </c>
      <c r="K12" s="169">
        <f>(K5-B5)/B5</f>
        <v>-5.410821643286573E-2</v>
      </c>
      <c r="L12" s="169">
        <f>(L5-B5)/B5</f>
        <v>2.004008016032064E-2</v>
      </c>
      <c r="M12" s="169">
        <f>(M5-B5)/B5</f>
        <v>8.0160320641282558E-3</v>
      </c>
      <c r="N12" s="169">
        <f>(N5-B5)/B5</f>
        <v>4.8096192384769539E-2</v>
      </c>
      <c r="O12" s="169">
        <f>(O5-B5)/B5</f>
        <v>2.8056112224448898E-2</v>
      </c>
      <c r="P12" s="169">
        <f>(P5-B5)/B5</f>
        <v>-2.8056112224448898E-2</v>
      </c>
      <c r="Q12" s="169">
        <f>(Q5-B5)/B5</f>
        <v>-2.004008016032064E-3</v>
      </c>
      <c r="R12" s="169">
        <f>(R5-B5)/B5</f>
        <v>1.4028056112224449E-2</v>
      </c>
      <c r="S12" s="169">
        <f>(S5-B5)/B5</f>
        <v>2.004008016032064E-2</v>
      </c>
      <c r="T12" s="169">
        <f>(T5-B5)/B5</f>
        <v>0.10220440881763528</v>
      </c>
      <c r="U12" s="169">
        <f>(U5-B5)/B5</f>
        <v>-3.6072144288577156E-2</v>
      </c>
      <c r="V12" s="169">
        <f>(V5-B5)/B5</f>
        <v>2.4048096192384769E-2</v>
      </c>
      <c r="W12" s="169">
        <f>(W5-B5)/B5</f>
        <v>2.004008016032064E-2</v>
      </c>
    </row>
    <row r="13" spans="1:28" x14ac:dyDescent="0.2">
      <c r="A13" s="142" t="s">
        <v>226</v>
      </c>
      <c r="B13" s="169">
        <f>(B6-B6)/B6</f>
        <v>0</v>
      </c>
      <c r="C13" s="169">
        <f>(C6-B6)/B6</f>
        <v>1.345957011258956E-2</v>
      </c>
      <c r="D13" s="169">
        <f>(D6-B6)/B6</f>
        <v>-1.1924257932446265E-2</v>
      </c>
      <c r="E13" s="169">
        <f>(E6-B6)/B6</f>
        <v>-2.3490276356192427E-2</v>
      </c>
      <c r="F13" s="169">
        <f>(F6-B6)/B6</f>
        <v>-2.3797338792221085E-2</v>
      </c>
      <c r="G13" s="169">
        <f>(G6-B6)/B6</f>
        <v>-3.4288638689866938E-2</v>
      </c>
      <c r="H13" s="169">
        <f>(H6-B6)/B6</f>
        <v>-6.2128966223132034E-2</v>
      </c>
      <c r="I13" s="169">
        <f>(I6-B6)/B6</f>
        <v>-8.1013306038894575E-2</v>
      </c>
      <c r="J13" s="169">
        <f>(J6-B6)/B6</f>
        <v>-9.2016376663254865E-2</v>
      </c>
      <c r="K13" s="169">
        <f>(K6-B6)/B6</f>
        <v>-5.9928352098259981E-2</v>
      </c>
      <c r="L13" s="169">
        <f>(L6-B6)/B6</f>
        <v>-1.4176049129989765E-2</v>
      </c>
      <c r="M13" s="169">
        <f>(M6-B6)/B6</f>
        <v>9.672466734902763E-3</v>
      </c>
      <c r="N13" s="169">
        <f>(N6-B6)/B6</f>
        <v>-8.7001023541453427E-4</v>
      </c>
      <c r="O13" s="169">
        <f>(O6-B6)/B6</f>
        <v>-7.9836233367451374E-3</v>
      </c>
      <c r="P13" s="169">
        <f>(P6-B6)/B6</f>
        <v>-4.5547594677584442E-3</v>
      </c>
      <c r="Q13" s="169">
        <f>(Q6-B6)/B6</f>
        <v>2.5486182190378709E-2</v>
      </c>
      <c r="R13" s="169">
        <f>(R6-B6)/B6</f>
        <v>4.6212896622313204E-2</v>
      </c>
      <c r="S13" s="169">
        <f>(S6-B6)/B6</f>
        <v>9.2528147389969298E-2</v>
      </c>
      <c r="T13" s="169">
        <f>(T6-B6)/B6</f>
        <v>0.10394063459570113</v>
      </c>
      <c r="U13" s="169">
        <f>(U6-B6)/B6</f>
        <v>-0.11028659160696008</v>
      </c>
      <c r="V13" s="169">
        <f>(V6-B6)/B6</f>
        <v>-0.14222108495394065</v>
      </c>
      <c r="W13" s="169">
        <f>(W6-B6)/B6</f>
        <v>-6.8014329580348004E-2</v>
      </c>
    </row>
    <row r="14" spans="1:28" x14ac:dyDescent="0.2">
      <c r="A14" s="142" t="s">
        <v>227</v>
      </c>
      <c r="B14" s="169">
        <f>(B7-B7)/B7</f>
        <v>0</v>
      </c>
      <c r="C14" s="169">
        <f>(C7-B7)/B7</f>
        <v>1.7663641904547226E-2</v>
      </c>
      <c r="D14" s="169">
        <f>(D7-B7)/B7</f>
        <v>2.7191716729223235E-2</v>
      </c>
      <c r="E14" s="169">
        <f>(E7-B7)/B7</f>
        <v>3.7938791943920053E-2</v>
      </c>
      <c r="F14" s="169">
        <f>(F7-B7)/B7</f>
        <v>5.588716386657433E-2</v>
      </c>
      <c r="G14" s="169">
        <f>(G7-B7)/B7</f>
        <v>8.3216796698318163E-2</v>
      </c>
      <c r="H14" s="169">
        <f>(H7-B7)/B7</f>
        <v>9.5396419816616077E-2</v>
      </c>
      <c r="I14" s="169">
        <f>(I7-B7)/B7</f>
        <v>0.11222366729297384</v>
      </c>
      <c r="J14" s="169">
        <f>(J7-B7)/B7</f>
        <v>0.13623144991346878</v>
      </c>
      <c r="K14" s="169">
        <f>(K7-B7)/B7</f>
        <v>0.16346024086379971</v>
      </c>
      <c r="L14" s="169">
        <f>(L7-B7)/B7</f>
        <v>0.1999383084960768</v>
      </c>
      <c r="M14" s="169">
        <f>(M7-B7)/B7</f>
        <v>0.24341302313579694</v>
      </c>
      <c r="N14" s="169">
        <f>(N7-B7)/B7</f>
        <v>6.4168061893187687E-3</v>
      </c>
      <c r="O14" s="169">
        <f>(O7-B7)/B7</f>
        <v>-3.3099864604944516E-3</v>
      </c>
      <c r="P14" s="169">
        <f>(P7-B7)/B7</f>
        <v>-1.1670964804700418E-2</v>
      </c>
      <c r="Q14" s="169">
        <f>(Q7-B7)/B7</f>
        <v>-1.4694738278243512E-2</v>
      </c>
      <c r="R14" s="169">
        <f>(R7-B7)/B7</f>
        <v>-2.0852024919808459E-2</v>
      </c>
      <c r="S14" s="169">
        <f>(S7-B7)/B7</f>
        <v>-1.1298739624779224E-2</v>
      </c>
      <c r="T14" s="169">
        <f>(T7-B7)/B7</f>
        <v>-1.8632020559880058E-2</v>
      </c>
      <c r="U14" s="169">
        <f>(U7-B7)/B7</f>
        <v>-0.17355480978700119</v>
      </c>
      <c r="V14" s="169">
        <f>(V7-B7)/B7</f>
        <v>-0.2325606571331543</v>
      </c>
      <c r="W14" s="169">
        <f>(W7-B7)/B7</f>
        <v>-0.20883612156192211</v>
      </c>
    </row>
    <row r="16" spans="1:28" ht="15.75" x14ac:dyDescent="0.25">
      <c r="A16" s="315" t="s">
        <v>298</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8" t="s">
        <v>188</v>
      </c>
      <c r="B17" s="189">
        <v>2005</v>
      </c>
      <c r="C17" s="189">
        <v>2006</v>
      </c>
      <c r="D17" s="189">
        <v>2007</v>
      </c>
      <c r="E17" s="189">
        <v>2008</v>
      </c>
      <c r="F17" s="189">
        <v>2009</v>
      </c>
      <c r="G17" s="189">
        <v>2010</v>
      </c>
      <c r="H17" s="189">
        <v>2011</v>
      </c>
      <c r="I17" s="189">
        <v>2012</v>
      </c>
      <c r="J17" s="189">
        <v>2013</v>
      </c>
      <c r="K17" s="189">
        <v>2014</v>
      </c>
      <c r="L17" s="189">
        <v>2015</v>
      </c>
      <c r="M17" s="189">
        <v>2016</v>
      </c>
      <c r="N17" s="189">
        <v>2017</v>
      </c>
      <c r="O17" s="189">
        <v>2018</v>
      </c>
      <c r="P17" s="189">
        <v>2019</v>
      </c>
      <c r="Q17" s="189">
        <v>2020</v>
      </c>
      <c r="R17" s="189">
        <v>2021</v>
      </c>
      <c r="S17" s="189">
        <v>2022</v>
      </c>
      <c r="T17"/>
      <c r="U17"/>
      <c r="V17"/>
      <c r="W17"/>
    </row>
    <row r="18" spans="1:23" ht="15" x14ac:dyDescent="0.25">
      <c r="A18" s="142" t="s">
        <v>225</v>
      </c>
      <c r="B18" s="149">
        <f>'4C'!B38</f>
        <v>8.32</v>
      </c>
      <c r="C18" s="149">
        <f>'4C'!C38</f>
        <v>9.56</v>
      </c>
      <c r="D18" s="149">
        <f>'4C'!D38</f>
        <v>9.56</v>
      </c>
      <c r="E18" s="149">
        <f>'4C'!E38</f>
        <v>9.4700000000000006</v>
      </c>
      <c r="F18" s="149">
        <f>'4C'!F38</f>
        <v>9.6199999999999992</v>
      </c>
      <c r="G18" s="149">
        <f>'4C'!G38</f>
        <v>9.81</v>
      </c>
      <c r="H18" s="149">
        <f>'4C'!H38</f>
        <v>9.77</v>
      </c>
      <c r="I18" s="149">
        <f>'4C'!I38</f>
        <v>9.1999999999999993</v>
      </c>
      <c r="J18" s="149">
        <f>'4C'!J38</f>
        <v>9.19</v>
      </c>
      <c r="K18" s="149">
        <f>'4C'!K38</f>
        <v>9.34</v>
      </c>
      <c r="L18" s="149">
        <f>'4C'!L38</f>
        <v>9.5</v>
      </c>
      <c r="M18" s="149">
        <f>'4C'!M38</f>
        <v>9.89</v>
      </c>
      <c r="N18" s="149">
        <f>'4C'!N38</f>
        <v>10.19</v>
      </c>
      <c r="O18" s="149">
        <f>'4C'!O38</f>
        <v>10.67</v>
      </c>
      <c r="P18" s="149">
        <f>'4C'!P38</f>
        <v>11.52</v>
      </c>
      <c r="Q18" s="149">
        <f>'4C'!Q38</f>
        <v>13.25</v>
      </c>
      <c r="R18" s="149">
        <f>'4C'!R38</f>
        <v>11.81</v>
      </c>
      <c r="S18" s="149">
        <f>'4C'!S38</f>
        <v>12.39</v>
      </c>
      <c r="T18"/>
      <c r="U18"/>
      <c r="V18"/>
      <c r="W18"/>
    </row>
    <row r="19" spans="1:23" ht="15" x14ac:dyDescent="0.25">
      <c r="A19" s="142" t="s">
        <v>226</v>
      </c>
      <c r="B19" s="149">
        <v>8.98</v>
      </c>
      <c r="C19" s="149">
        <v>8.91</v>
      </c>
      <c r="D19" s="149">
        <v>9.23</v>
      </c>
      <c r="E19" s="149">
        <v>9.6</v>
      </c>
      <c r="F19" s="149">
        <v>9.59</v>
      </c>
      <c r="G19" s="149">
        <v>9.5500000000000007</v>
      </c>
      <c r="H19" s="149">
        <v>9.51</v>
      </c>
      <c r="I19" s="149">
        <v>9.65</v>
      </c>
      <c r="J19" s="149">
        <v>9.56</v>
      </c>
      <c r="K19" s="149">
        <v>9.4700000000000006</v>
      </c>
      <c r="L19" s="149">
        <v>9.4499999999999993</v>
      </c>
      <c r="M19" s="149">
        <v>9.73</v>
      </c>
      <c r="N19" s="149">
        <v>10.11</v>
      </c>
      <c r="O19" s="149">
        <v>10.66</v>
      </c>
      <c r="P19" s="149">
        <v>11.15</v>
      </c>
      <c r="Q19" s="149">
        <v>11.61</v>
      </c>
      <c r="R19" s="149">
        <v>11.54</v>
      </c>
      <c r="S19" s="150">
        <v>12.89</v>
      </c>
      <c r="T19"/>
      <c r="U19"/>
      <c r="V19"/>
      <c r="W19"/>
    </row>
    <row r="20" spans="1:23" ht="15" x14ac:dyDescent="0.25">
      <c r="A20" s="142" t="s">
        <v>227</v>
      </c>
      <c r="B20" s="149">
        <v>8.17</v>
      </c>
      <c r="C20" s="149">
        <v>8.42</v>
      </c>
      <c r="D20" s="149">
        <v>8.73</v>
      </c>
      <c r="E20" s="149">
        <v>9.01</v>
      </c>
      <c r="F20" s="149">
        <v>9.17</v>
      </c>
      <c r="G20" s="149">
        <v>9.24</v>
      </c>
      <c r="H20" s="149">
        <v>9.33</v>
      </c>
      <c r="I20" s="149">
        <v>9.3800000000000008</v>
      </c>
      <c r="J20" s="149">
        <v>9.44</v>
      </c>
      <c r="K20" s="149">
        <v>9.5</v>
      </c>
      <c r="L20" s="149">
        <v>9.7799999999999994</v>
      </c>
      <c r="M20" s="149">
        <v>10.18</v>
      </c>
      <c r="N20" s="149">
        <v>10.71</v>
      </c>
      <c r="O20" s="149">
        <v>11.15</v>
      </c>
      <c r="P20" s="149">
        <v>11.65</v>
      </c>
      <c r="Q20" s="149">
        <v>12.19</v>
      </c>
      <c r="R20" s="149">
        <v>13.11</v>
      </c>
      <c r="S20" s="150">
        <v>13.52</v>
      </c>
      <c r="T20"/>
      <c r="U20"/>
      <c r="V20"/>
      <c r="W20"/>
    </row>
    <row r="21" spans="1:23" ht="15" x14ac:dyDescent="0.25">
      <c r="B21" s="45"/>
      <c r="C21" s="45"/>
      <c r="D21" s="45"/>
      <c r="E21" s="45"/>
      <c r="F21" s="45"/>
      <c r="G21" s="45"/>
      <c r="H21" s="45"/>
      <c r="I21" s="45"/>
      <c r="J21" s="45"/>
      <c r="K21" s="45"/>
      <c r="L21" s="45"/>
      <c r="M21" s="45"/>
      <c r="N21" s="45"/>
      <c r="O21" s="45"/>
      <c r="P21" s="45"/>
      <c r="Q21" s="45"/>
      <c r="R21" s="45"/>
      <c r="S21" s="45"/>
      <c r="T21"/>
      <c r="U21"/>
      <c r="V21"/>
      <c r="W21"/>
    </row>
    <row r="22" spans="1:23" ht="15" x14ac:dyDescent="0.25">
      <c r="D22" s="1"/>
      <c r="K22" s="39"/>
      <c r="O22" s="1"/>
      <c r="T22"/>
      <c r="U22"/>
      <c r="V22"/>
      <c r="W22"/>
    </row>
    <row r="23" spans="1:23" ht="15.75" x14ac:dyDescent="0.25">
      <c r="A23" s="315" t="s">
        <v>299</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8" t="s">
        <v>188</v>
      </c>
      <c r="B24" s="189">
        <v>2005</v>
      </c>
      <c r="C24" s="189">
        <v>2006</v>
      </c>
      <c r="D24" s="189">
        <v>2007</v>
      </c>
      <c r="E24" s="189">
        <v>2008</v>
      </c>
      <c r="F24" s="189">
        <v>2009</v>
      </c>
      <c r="G24" s="189">
        <v>2010</v>
      </c>
      <c r="H24" s="189">
        <v>2011</v>
      </c>
      <c r="I24" s="189">
        <v>2012</v>
      </c>
      <c r="J24" s="189">
        <v>2013</v>
      </c>
      <c r="K24" s="189">
        <v>2014</v>
      </c>
      <c r="L24" s="189">
        <v>2015</v>
      </c>
      <c r="M24" s="189">
        <v>2016</v>
      </c>
      <c r="N24" s="189">
        <v>2017</v>
      </c>
      <c r="O24" s="189">
        <v>2018</v>
      </c>
      <c r="P24" s="189">
        <v>2019</v>
      </c>
      <c r="Q24" s="189">
        <v>2020</v>
      </c>
      <c r="R24" s="189">
        <v>2021</v>
      </c>
      <c r="S24" s="189">
        <v>2022</v>
      </c>
      <c r="T24"/>
      <c r="U24"/>
      <c r="V24"/>
      <c r="W24"/>
    </row>
    <row r="25" spans="1:23" ht="15" x14ac:dyDescent="0.25">
      <c r="A25" s="142" t="s">
        <v>231</v>
      </c>
      <c r="B25" s="169">
        <f>(B18-B18)/B18</f>
        <v>0</v>
      </c>
      <c r="C25" s="169">
        <f>(C18-B18)/B18</f>
        <v>0.14903846153846156</v>
      </c>
      <c r="D25" s="169">
        <f>(D18-B18)/B18</f>
        <v>0.14903846153846156</v>
      </c>
      <c r="E25" s="169">
        <f>(E18-B18)/B18</f>
        <v>0.13822115384615388</v>
      </c>
      <c r="F25" s="169">
        <f>(F18-B18)/B18</f>
        <v>0.15624999999999986</v>
      </c>
      <c r="G25" s="169">
        <f>(G18-B18)/B18</f>
        <v>0.17908653846153849</v>
      </c>
      <c r="H25" s="169">
        <f>(H18-B18)/B18</f>
        <v>0.17427884615384606</v>
      </c>
      <c r="I25" s="169">
        <f>(I18-B18)/B18</f>
        <v>0.10576923076923064</v>
      </c>
      <c r="J25" s="169">
        <f>(J18-B18)/B18</f>
        <v>0.1045673076923076</v>
      </c>
      <c r="K25" s="169">
        <f>(K18-B18)/B18</f>
        <v>0.12259615384615379</v>
      </c>
      <c r="L25" s="169">
        <f>(L18-B18)/B18</f>
        <v>0.14182692307692304</v>
      </c>
      <c r="M25" s="169">
        <f>(M18-B18)/B18</f>
        <v>0.1887019230769231</v>
      </c>
      <c r="N25" s="169">
        <f>(N18-B18)/B18</f>
        <v>0.22475961538461528</v>
      </c>
      <c r="O25" s="169">
        <f>(O18-B18)/B18</f>
        <v>0.28245192307692302</v>
      </c>
      <c r="P25" s="169">
        <f>(P18-B18)/B18</f>
        <v>0.38461538461538453</v>
      </c>
      <c r="Q25" s="169">
        <f>(Q18-B18)/B18</f>
        <v>0.59254807692307687</v>
      </c>
      <c r="R25" s="169">
        <f>(R18-B18)/B18</f>
        <v>0.41947115384615385</v>
      </c>
      <c r="S25" s="169">
        <f>(S18-B18)/B18</f>
        <v>0.48918269230769235</v>
      </c>
      <c r="T25"/>
      <c r="U25"/>
      <c r="V25"/>
      <c r="W25"/>
    </row>
    <row r="26" spans="1:23" ht="15" x14ac:dyDescent="0.25">
      <c r="A26" s="142" t="s">
        <v>226</v>
      </c>
      <c r="B26" s="169">
        <f>(B19-B19)/B19</f>
        <v>0</v>
      </c>
      <c r="C26" s="169">
        <f>(C19-B19)/B19</f>
        <v>-7.7951002227171808E-3</v>
      </c>
      <c r="D26" s="169">
        <f>(D19-B19)/B19</f>
        <v>2.7839643652561245E-2</v>
      </c>
      <c r="E26" s="169">
        <f>(E19-B19)/B19</f>
        <v>6.9042316258351805E-2</v>
      </c>
      <c r="F26" s="169">
        <f>(F19-B19)/B19</f>
        <v>6.7928730512249375E-2</v>
      </c>
      <c r="G26" s="169">
        <f>(G19-B19)/B19</f>
        <v>6.3474387527839668E-2</v>
      </c>
      <c r="H26" s="169">
        <f>(H19-B19)/B19</f>
        <v>5.9020044543429767E-2</v>
      </c>
      <c r="I26" s="169">
        <f>(I19-B19)/B19</f>
        <v>7.4610244988864136E-2</v>
      </c>
      <c r="J26" s="169">
        <f>(J19-B19)/B19</f>
        <v>6.4587973273942098E-2</v>
      </c>
      <c r="K26" s="169">
        <f>(K19-B19)/B19</f>
        <v>5.4565701559020068E-2</v>
      </c>
      <c r="L26" s="169">
        <f>(L19-B19)/B19</f>
        <v>5.2338530066815013E-2</v>
      </c>
      <c r="M26" s="169">
        <f>(M19-B19)/B19</f>
        <v>8.3518930957683743E-2</v>
      </c>
      <c r="N26" s="169">
        <f>(N19-B19)/B19</f>
        <v>0.12583518930957671</v>
      </c>
      <c r="O26" s="169">
        <f>(O19-B19)/B19</f>
        <v>0.18708240534521153</v>
      </c>
      <c r="P26" s="169">
        <f>(P19-B19)/B19</f>
        <v>0.24164810690423161</v>
      </c>
      <c r="Q26" s="169">
        <f>(Q19-B19)/B19</f>
        <v>0.29287305122494417</v>
      </c>
      <c r="R26" s="169">
        <f>(R19-B19)/B19</f>
        <v>0.28507795100222699</v>
      </c>
      <c r="S26" s="169">
        <f>(S19-B19)/B19</f>
        <v>0.43541202672605789</v>
      </c>
      <c r="T26"/>
      <c r="U26"/>
      <c r="V26"/>
      <c r="W26"/>
    </row>
    <row r="27" spans="1:23" ht="15" x14ac:dyDescent="0.25">
      <c r="A27" s="142" t="s">
        <v>227</v>
      </c>
      <c r="B27" s="169">
        <f>(B20-B20)/B20</f>
        <v>0</v>
      </c>
      <c r="C27" s="169">
        <f>(C20-B20)/B20</f>
        <v>3.0599755201958383E-2</v>
      </c>
      <c r="D27" s="169">
        <f>(D20-B20)/B20</f>
        <v>6.8543451652386844E-2</v>
      </c>
      <c r="E27" s="169">
        <f>(E20-B20)/B20</f>
        <v>0.10281517747858016</v>
      </c>
      <c r="F27" s="169">
        <f>(F20-B20)/B20</f>
        <v>0.12239902080783353</v>
      </c>
      <c r="G27" s="169">
        <f>(G20-B20)/B20</f>
        <v>0.13096695226438193</v>
      </c>
      <c r="H27" s="169">
        <f>(H20-B20)/B20</f>
        <v>0.14198286413708691</v>
      </c>
      <c r="I27" s="169">
        <f>(I20-B20)/B20</f>
        <v>0.1481028151774787</v>
      </c>
      <c r="J27" s="169">
        <f>(J20-B20)/B20</f>
        <v>0.15544675642594855</v>
      </c>
      <c r="K27" s="169">
        <f>(K20-B20)/B20</f>
        <v>0.16279069767441862</v>
      </c>
      <c r="L27" s="169">
        <f>(L20-B20)/B20</f>
        <v>0.19706242350061193</v>
      </c>
      <c r="M27" s="169">
        <f>(M20-B20)/B20</f>
        <v>0.24602203182374538</v>
      </c>
      <c r="N27" s="169">
        <f>(N20-B20)/B20</f>
        <v>0.31089351285189731</v>
      </c>
      <c r="O27" s="169">
        <f>(O20-B20)/B20</f>
        <v>0.36474908200734402</v>
      </c>
      <c r="P27" s="169">
        <f>(P20-B20)/B20</f>
        <v>0.42594859241126076</v>
      </c>
      <c r="Q27" s="169">
        <f>(Q20-B20)/B20</f>
        <v>0.49204406364749076</v>
      </c>
      <c r="R27" s="169">
        <f>(R20-B20)/B20</f>
        <v>0.60465116279069764</v>
      </c>
      <c r="S27" s="169">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topLeftCell="C3" zoomScaleNormal="100" workbookViewId="0">
      <selection activeCell="C13" sqref="C13"/>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8"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300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267</v>
      </c>
      <c r="B4" s="320"/>
      <c r="C4" s="320"/>
      <c r="D4" s="320"/>
    </row>
    <row r="5" spans="1:27" ht="15" x14ac:dyDescent="0.25">
      <c r="A5" s="321" t="s">
        <v>208</v>
      </c>
      <c r="B5" s="322"/>
      <c r="C5" s="321" t="s">
        <v>209</v>
      </c>
      <c r="D5" s="321"/>
    </row>
    <row r="6" spans="1:27" x14ac:dyDescent="0.2">
      <c r="A6" s="153" t="s">
        <v>210</v>
      </c>
      <c r="B6" s="154" t="s">
        <v>194</v>
      </c>
      <c r="C6" s="153" t="s">
        <v>210</v>
      </c>
      <c r="D6" s="155" t="s">
        <v>194</v>
      </c>
    </row>
    <row r="7" spans="1:27" x14ac:dyDescent="0.2">
      <c r="A7" s="1" t="s">
        <v>221</v>
      </c>
      <c r="B7" s="156">
        <v>0.128</v>
      </c>
      <c r="C7" s="1" t="s">
        <v>221</v>
      </c>
      <c r="D7" s="157">
        <v>0.1464</v>
      </c>
    </row>
    <row r="8" spans="1:27" x14ac:dyDescent="0.2">
      <c r="A8" s="1" t="s">
        <v>214</v>
      </c>
      <c r="B8" s="156">
        <v>9.0999999999999998E-2</v>
      </c>
      <c r="C8" s="1" t="s">
        <v>214</v>
      </c>
      <c r="D8" s="157">
        <v>0.14169999999999999</v>
      </c>
    </row>
    <row r="9" spans="1:27" x14ac:dyDescent="0.2">
      <c r="A9" s="1" t="s">
        <v>301</v>
      </c>
      <c r="B9" s="156">
        <v>8.5999999999999993E-2</v>
      </c>
      <c r="C9" s="1" t="s">
        <v>219</v>
      </c>
      <c r="D9" s="157">
        <v>0.1196</v>
      </c>
    </row>
    <row r="10" spans="1:27" x14ac:dyDescent="0.2">
      <c r="A10" s="1" t="s">
        <v>302</v>
      </c>
      <c r="B10" s="156">
        <v>8.3599999999999994E-2</v>
      </c>
      <c r="C10" s="1" t="s">
        <v>302</v>
      </c>
      <c r="D10" s="157">
        <v>0.111</v>
      </c>
    </row>
    <row r="11" spans="1:27" x14ac:dyDescent="0.2">
      <c r="A11" s="1" t="s">
        <v>303</v>
      </c>
      <c r="B11" s="156">
        <v>8.1900000000000001E-2</v>
      </c>
      <c r="C11" s="1" t="s">
        <v>220</v>
      </c>
      <c r="D11" s="157">
        <v>9.5600000000000004E-2</v>
      </c>
    </row>
    <row r="12" spans="1:27" x14ac:dyDescent="0.2">
      <c r="A12" s="1" t="s">
        <v>219</v>
      </c>
      <c r="B12" s="156">
        <v>7.8700000000000006E-2</v>
      </c>
      <c r="C12" s="1" t="s">
        <v>354</v>
      </c>
      <c r="D12" s="157">
        <v>9.4299999999999995E-2</v>
      </c>
    </row>
    <row r="13" spans="1:27" x14ac:dyDescent="0.2">
      <c r="A13" s="1" t="s">
        <v>304</v>
      </c>
      <c r="B13" s="156">
        <v>6.5000000000000002E-2</v>
      </c>
      <c r="C13" s="1" t="s">
        <v>211</v>
      </c>
      <c r="D13" s="157">
        <v>7.5999999999999998E-2</v>
      </c>
    </row>
    <row r="14" spans="1:27" x14ac:dyDescent="0.2">
      <c r="A14" s="1" t="s">
        <v>211</v>
      </c>
      <c r="B14" s="156">
        <v>6.3E-2</v>
      </c>
      <c r="C14" s="1" t="s">
        <v>305</v>
      </c>
      <c r="D14" s="157">
        <f>1606/22282</f>
        <v>7.2076115249977563E-2</v>
      </c>
    </row>
    <row r="15" spans="1:27" x14ac:dyDescent="0.2">
      <c r="A15" s="1" t="s">
        <v>220</v>
      </c>
      <c r="B15" s="156">
        <v>6.1800000000000001E-2</v>
      </c>
      <c r="C15" s="1" t="s">
        <v>303</v>
      </c>
      <c r="D15" s="157">
        <f>1577/22282</f>
        <v>7.0774616282200886E-2</v>
      </c>
    </row>
    <row r="16" spans="1:27" x14ac:dyDescent="0.2">
      <c r="A16" s="1" t="s">
        <v>306</v>
      </c>
      <c r="B16" s="156">
        <v>5.7000000000000002E-2</v>
      </c>
      <c r="C16" s="1" t="s">
        <v>215</v>
      </c>
      <c r="D16" s="157">
        <v>7.0000000000000007E-2</v>
      </c>
    </row>
    <row r="18" spans="2:2" x14ac:dyDescent="0.2">
      <c r="B18" s="158"/>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Q5" sqref="Q5"/>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8"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307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2" t="s">
        <v>308</v>
      </c>
      <c r="B3" s="192"/>
      <c r="C3" s="192"/>
      <c r="D3" s="192"/>
      <c r="F3" s="320" t="s">
        <v>309</v>
      </c>
      <c r="G3" s="320"/>
      <c r="H3" s="320"/>
    </row>
    <row r="4" spans="1:27" ht="28.5" x14ac:dyDescent="0.2">
      <c r="A4" s="190" t="s">
        <v>235</v>
      </c>
      <c r="B4" s="190" t="s">
        <v>236</v>
      </c>
      <c r="C4" s="191" t="s">
        <v>237</v>
      </c>
      <c r="D4" s="1"/>
      <c r="F4" s="190" t="s">
        <v>238</v>
      </c>
      <c r="G4" s="191" t="s">
        <v>239</v>
      </c>
      <c r="H4" s="36" t="s">
        <v>240</v>
      </c>
      <c r="O4" s="1"/>
    </row>
    <row r="5" spans="1:27" ht="15" x14ac:dyDescent="0.25">
      <c r="A5" s="159">
        <v>43313</v>
      </c>
      <c r="B5">
        <v>2</v>
      </c>
      <c r="C5" s="217" t="s">
        <v>241</v>
      </c>
      <c r="D5" s="1"/>
      <c r="F5" s="1" t="s">
        <v>310</v>
      </c>
      <c r="G5" s="158">
        <v>28</v>
      </c>
      <c r="H5" s="202" t="s">
        <v>244</v>
      </c>
      <c r="O5" s="1"/>
    </row>
    <row r="6" spans="1:27" ht="15" x14ac:dyDescent="0.25">
      <c r="A6" s="159">
        <v>43344</v>
      </c>
      <c r="B6">
        <v>4</v>
      </c>
      <c r="C6" s="217" t="s">
        <v>241</v>
      </c>
      <c r="D6" s="1"/>
      <c r="F6" s="1" t="s">
        <v>345</v>
      </c>
      <c r="G6" s="158">
        <v>15</v>
      </c>
      <c r="H6" s="202" t="s">
        <v>243</v>
      </c>
      <c r="O6" s="1"/>
    </row>
    <row r="7" spans="1:27" ht="15" x14ac:dyDescent="0.25">
      <c r="A7" s="159">
        <v>43374</v>
      </c>
      <c r="B7">
        <v>2</v>
      </c>
      <c r="C7" s="217" t="s">
        <v>241</v>
      </c>
      <c r="D7" s="1"/>
      <c r="F7" s="1" t="s">
        <v>357</v>
      </c>
      <c r="G7" s="158">
        <v>9</v>
      </c>
      <c r="H7" s="202" t="s">
        <v>352</v>
      </c>
      <c r="O7" s="1"/>
    </row>
    <row r="8" spans="1:27" ht="15" x14ac:dyDescent="0.25">
      <c r="A8" s="159">
        <v>43405</v>
      </c>
      <c r="B8">
        <v>0</v>
      </c>
      <c r="C8" s="217" t="s">
        <v>241</v>
      </c>
      <c r="D8" s="1"/>
      <c r="F8" s="1" t="s">
        <v>355</v>
      </c>
      <c r="G8" s="158">
        <v>7</v>
      </c>
      <c r="H8" s="202" t="s">
        <v>359</v>
      </c>
      <c r="O8" s="1"/>
    </row>
    <row r="9" spans="1:27" ht="15" x14ac:dyDescent="0.25">
      <c r="A9" s="159">
        <v>43435</v>
      </c>
      <c r="B9">
        <v>0</v>
      </c>
      <c r="C9" s="217" t="s">
        <v>241</v>
      </c>
      <c r="D9" s="1"/>
      <c r="F9" s="1" t="s">
        <v>370</v>
      </c>
      <c r="G9" s="158">
        <v>3</v>
      </c>
      <c r="H9" s="202" t="s">
        <v>360</v>
      </c>
      <c r="O9" s="1"/>
    </row>
    <row r="10" spans="1:27" ht="15" x14ac:dyDescent="0.25">
      <c r="A10" s="159">
        <v>43466</v>
      </c>
      <c r="B10">
        <v>2</v>
      </c>
      <c r="C10" s="217" t="s">
        <v>241</v>
      </c>
      <c r="D10" s="1"/>
      <c r="F10" s="1" t="s">
        <v>356</v>
      </c>
      <c r="G10" s="158">
        <v>3</v>
      </c>
      <c r="H10" s="202" t="s">
        <v>243</v>
      </c>
      <c r="O10" s="1"/>
    </row>
    <row r="11" spans="1:27" ht="15" x14ac:dyDescent="0.25">
      <c r="A11" s="159">
        <v>43497</v>
      </c>
      <c r="B11">
        <v>3</v>
      </c>
      <c r="C11" s="217" t="s">
        <v>241</v>
      </c>
      <c r="D11" s="1"/>
      <c r="F11" s="1" t="s">
        <v>371</v>
      </c>
      <c r="G11" s="158">
        <v>2</v>
      </c>
      <c r="H11" s="202" t="s">
        <v>276</v>
      </c>
      <c r="O11" s="1"/>
    </row>
    <row r="12" spans="1:27" ht="15" x14ac:dyDescent="0.25">
      <c r="A12" s="159">
        <v>43525</v>
      </c>
      <c r="B12">
        <v>4</v>
      </c>
      <c r="C12" s="217" t="s">
        <v>241</v>
      </c>
      <c r="D12" s="1"/>
      <c r="F12" s="1" t="s">
        <v>366</v>
      </c>
      <c r="G12" s="158">
        <v>1</v>
      </c>
      <c r="H12" s="202" t="s">
        <v>372</v>
      </c>
      <c r="O12" s="1"/>
    </row>
    <row r="13" spans="1:27" ht="15" x14ac:dyDescent="0.25">
      <c r="A13" s="159">
        <v>43556</v>
      </c>
      <c r="B13">
        <v>2</v>
      </c>
      <c r="C13" s="217" t="s">
        <v>241</v>
      </c>
      <c r="D13" s="1"/>
      <c r="F13" s="1" t="s">
        <v>358</v>
      </c>
      <c r="G13" s="158">
        <v>1</v>
      </c>
      <c r="H13" s="202" t="s">
        <v>275</v>
      </c>
      <c r="O13" s="1"/>
    </row>
    <row r="14" spans="1:27" ht="15" x14ac:dyDescent="0.25">
      <c r="A14" s="159">
        <v>43586</v>
      </c>
      <c r="B14">
        <v>2</v>
      </c>
      <c r="C14" s="217" t="s">
        <v>241</v>
      </c>
      <c r="D14" s="1"/>
      <c r="G14" s="158"/>
      <c r="H14" s="202"/>
      <c r="O14" s="1"/>
    </row>
    <row r="15" spans="1:27" ht="15" x14ac:dyDescent="0.25">
      <c r="A15" s="159">
        <v>43617</v>
      </c>
      <c r="B15">
        <v>7</v>
      </c>
      <c r="C15" s="217" t="s">
        <v>241</v>
      </c>
      <c r="D15" s="1"/>
      <c r="O15" s="1"/>
    </row>
    <row r="16" spans="1:27" ht="15" x14ac:dyDescent="0.25">
      <c r="A16" s="159">
        <v>43647</v>
      </c>
      <c r="B16">
        <v>12</v>
      </c>
      <c r="C16" s="217" t="s">
        <v>241</v>
      </c>
      <c r="D16" s="1"/>
      <c r="O16" s="1"/>
    </row>
    <row r="17" spans="1:15" ht="15" x14ac:dyDescent="0.25">
      <c r="A17" s="159">
        <v>43678</v>
      </c>
      <c r="B17">
        <v>5</v>
      </c>
      <c r="C17" s="217" t="s">
        <v>241</v>
      </c>
      <c r="D17" s="1"/>
      <c r="O17" s="1"/>
    </row>
    <row r="18" spans="1:15" ht="15" x14ac:dyDescent="0.25">
      <c r="A18" s="159">
        <v>43709</v>
      </c>
      <c r="B18">
        <v>10</v>
      </c>
      <c r="C18" s="217" t="s">
        <v>241</v>
      </c>
      <c r="D18" s="1"/>
      <c r="I18" s="38"/>
      <c r="O18" s="1"/>
    </row>
    <row r="19" spans="1:15" ht="15" x14ac:dyDescent="0.25">
      <c r="A19" s="159">
        <v>43739</v>
      </c>
      <c r="B19">
        <v>7</v>
      </c>
      <c r="C19" s="217" t="s">
        <v>241</v>
      </c>
      <c r="D19" s="1"/>
      <c r="I19" s="38"/>
      <c r="O19" s="1"/>
    </row>
    <row r="20" spans="1:15" ht="15" x14ac:dyDescent="0.25">
      <c r="A20" s="159">
        <v>43770</v>
      </c>
      <c r="B20">
        <v>2</v>
      </c>
      <c r="C20" s="217" t="s">
        <v>241</v>
      </c>
      <c r="D20" s="1"/>
      <c r="I20" s="38"/>
      <c r="O20" s="1"/>
    </row>
    <row r="21" spans="1:15" ht="15" x14ac:dyDescent="0.25">
      <c r="A21" s="159">
        <v>43800</v>
      </c>
      <c r="B21">
        <v>5</v>
      </c>
      <c r="C21" s="217" t="s">
        <v>241</v>
      </c>
      <c r="D21" s="1"/>
      <c r="I21" s="38"/>
      <c r="O21" s="1"/>
    </row>
    <row r="22" spans="1:15" ht="15" x14ac:dyDescent="0.25">
      <c r="A22" s="159">
        <v>43831</v>
      </c>
      <c r="B22">
        <v>4</v>
      </c>
      <c r="C22" s="217" t="s">
        <v>241</v>
      </c>
      <c r="D22" s="1"/>
      <c r="I22" s="38"/>
      <c r="O22" s="1"/>
    </row>
    <row r="23" spans="1:15" ht="15" x14ac:dyDescent="0.25">
      <c r="A23" s="159">
        <v>43862</v>
      </c>
      <c r="B23">
        <v>3</v>
      </c>
      <c r="C23" s="217" t="s">
        <v>241</v>
      </c>
      <c r="D23" s="1"/>
      <c r="O23" s="1"/>
    </row>
    <row r="24" spans="1:15" ht="15" x14ac:dyDescent="0.25">
      <c r="A24" s="159">
        <v>43891</v>
      </c>
      <c r="B24">
        <v>4</v>
      </c>
      <c r="C24" s="217" t="s">
        <v>241</v>
      </c>
      <c r="D24" s="1"/>
      <c r="O24" s="1"/>
    </row>
    <row r="25" spans="1:15" ht="15" x14ac:dyDescent="0.25">
      <c r="A25" s="159">
        <v>43922</v>
      </c>
      <c r="B25">
        <v>1</v>
      </c>
      <c r="C25" s="217" t="s">
        <v>241</v>
      </c>
      <c r="D25" s="1"/>
      <c r="O25" s="1"/>
    </row>
    <row r="26" spans="1:15" ht="15" x14ac:dyDescent="0.25">
      <c r="A26" s="159">
        <v>43952</v>
      </c>
      <c r="B26">
        <v>0</v>
      </c>
      <c r="C26" s="217" t="s">
        <v>241</v>
      </c>
      <c r="D26" s="1"/>
      <c r="O26" s="1"/>
    </row>
    <row r="27" spans="1:15" ht="15" x14ac:dyDescent="0.25">
      <c r="A27" s="159">
        <v>43983</v>
      </c>
      <c r="B27">
        <v>0</v>
      </c>
      <c r="C27" s="217" t="s">
        <v>241</v>
      </c>
      <c r="D27" s="1"/>
      <c r="O27" s="1"/>
    </row>
    <row r="28" spans="1:15" ht="15" x14ac:dyDescent="0.25">
      <c r="A28" s="159">
        <v>44013</v>
      </c>
      <c r="B28">
        <v>4</v>
      </c>
      <c r="C28" s="217" t="s">
        <v>241</v>
      </c>
      <c r="D28" s="1"/>
      <c r="O28" s="1"/>
    </row>
    <row r="29" spans="1:15" ht="15" x14ac:dyDescent="0.25">
      <c r="A29" s="159">
        <v>44044</v>
      </c>
      <c r="B29">
        <v>6</v>
      </c>
      <c r="C29" s="217" t="s">
        <v>241</v>
      </c>
      <c r="D29" s="1"/>
      <c r="O29" s="1"/>
    </row>
    <row r="30" spans="1:15" ht="15" x14ac:dyDescent="0.25">
      <c r="A30" s="159">
        <v>44075</v>
      </c>
      <c r="B30">
        <v>12</v>
      </c>
      <c r="C30" s="217" t="s">
        <v>241</v>
      </c>
      <c r="D30" s="1"/>
      <c r="O30" s="1"/>
    </row>
    <row r="31" spans="1:15" ht="15" x14ac:dyDescent="0.25">
      <c r="A31" s="159">
        <v>44105</v>
      </c>
      <c r="B31">
        <v>1</v>
      </c>
      <c r="C31" s="217" t="s">
        <v>241</v>
      </c>
      <c r="D31" s="1"/>
      <c r="O31" s="1"/>
    </row>
    <row r="32" spans="1:15" ht="15" x14ac:dyDescent="0.25">
      <c r="A32" s="159">
        <v>44136</v>
      </c>
      <c r="B32">
        <v>1</v>
      </c>
      <c r="C32" s="217" t="s">
        <v>241</v>
      </c>
      <c r="D32" s="1"/>
      <c r="O32" s="1"/>
    </row>
    <row r="33" spans="1:15" ht="15" x14ac:dyDescent="0.25">
      <c r="A33" s="159">
        <v>44166</v>
      </c>
      <c r="B33">
        <v>3</v>
      </c>
      <c r="C33" s="217" t="s">
        <v>241</v>
      </c>
      <c r="D33" s="1"/>
      <c r="O33" s="1"/>
    </row>
    <row r="34" spans="1:15" ht="15" x14ac:dyDescent="0.25">
      <c r="A34" s="159">
        <v>44197</v>
      </c>
      <c r="B34">
        <v>1</v>
      </c>
      <c r="C34" s="217" t="s">
        <v>241</v>
      </c>
      <c r="D34" s="1"/>
      <c r="O34" s="1"/>
    </row>
    <row r="35" spans="1:15" ht="15" x14ac:dyDescent="0.25">
      <c r="A35" s="159">
        <v>44228</v>
      </c>
      <c r="B35">
        <v>2</v>
      </c>
      <c r="C35" s="217" t="s">
        <v>241</v>
      </c>
      <c r="D35" s="1"/>
      <c r="O35" s="1"/>
    </row>
    <row r="36" spans="1:15" ht="15" x14ac:dyDescent="0.25">
      <c r="A36" s="159">
        <v>44256</v>
      </c>
      <c r="B36">
        <v>10</v>
      </c>
      <c r="C36" s="217" t="s">
        <v>241</v>
      </c>
      <c r="D36" s="1"/>
      <c r="O36" s="1"/>
    </row>
    <row r="37" spans="1:15" ht="15" x14ac:dyDescent="0.25">
      <c r="A37" s="159">
        <v>44287</v>
      </c>
      <c r="B37">
        <v>5</v>
      </c>
      <c r="C37" s="217" t="s">
        <v>241</v>
      </c>
      <c r="D37" s="1"/>
      <c r="O37" s="1"/>
    </row>
    <row r="38" spans="1:15" ht="15" x14ac:dyDescent="0.25">
      <c r="A38" s="159">
        <v>44317</v>
      </c>
      <c r="B38">
        <v>18</v>
      </c>
      <c r="C38" s="217" t="s">
        <v>241</v>
      </c>
      <c r="D38" s="1"/>
      <c r="O38" s="1"/>
    </row>
    <row r="39" spans="1:15" ht="15" x14ac:dyDescent="0.25">
      <c r="A39" s="159">
        <v>44348</v>
      </c>
      <c r="B39">
        <v>10</v>
      </c>
      <c r="C39" s="217" t="s">
        <v>241</v>
      </c>
      <c r="D39" s="1"/>
      <c r="O39" s="1"/>
    </row>
    <row r="40" spans="1:15" ht="15" x14ac:dyDescent="0.25">
      <c r="A40" s="159">
        <v>44378</v>
      </c>
      <c r="B40">
        <v>24</v>
      </c>
      <c r="C40" s="217" t="s">
        <v>241</v>
      </c>
      <c r="D40" s="1"/>
      <c r="O40" s="1"/>
    </row>
    <row r="41" spans="1:15" ht="15" x14ac:dyDescent="0.25">
      <c r="A41" s="159">
        <v>44409</v>
      </c>
      <c r="B41">
        <v>3</v>
      </c>
      <c r="C41" s="217" t="s">
        <v>241</v>
      </c>
      <c r="D41" s="1"/>
      <c r="O41" s="1"/>
    </row>
    <row r="42" spans="1:15" ht="15" x14ac:dyDescent="0.25">
      <c r="A42" s="159">
        <v>44440</v>
      </c>
      <c r="B42">
        <v>0</v>
      </c>
      <c r="C42" s="217" t="s">
        <v>241</v>
      </c>
      <c r="D42" s="1"/>
      <c r="O42" s="1"/>
    </row>
    <row r="43" spans="1:15" ht="15" x14ac:dyDescent="0.25">
      <c r="A43" s="159">
        <v>44470</v>
      </c>
      <c r="B43">
        <v>3</v>
      </c>
      <c r="C43" s="217" t="s">
        <v>241</v>
      </c>
      <c r="D43" s="1"/>
      <c r="O43" s="1"/>
    </row>
    <row r="44" spans="1:15" ht="15" x14ac:dyDescent="0.25">
      <c r="A44" s="159">
        <v>44501</v>
      </c>
      <c r="B44">
        <v>1</v>
      </c>
      <c r="C44" s="217" t="s">
        <v>241</v>
      </c>
      <c r="D44" s="1"/>
      <c r="O44" s="1"/>
    </row>
    <row r="45" spans="1:15" ht="15" x14ac:dyDescent="0.25">
      <c r="A45" s="159">
        <v>44531</v>
      </c>
      <c r="B45">
        <v>2</v>
      </c>
      <c r="C45" s="217" t="s">
        <v>241</v>
      </c>
      <c r="D45" s="1"/>
      <c r="O45" s="1"/>
    </row>
    <row r="46" spans="1:15" ht="15" x14ac:dyDescent="0.25">
      <c r="A46" s="159">
        <v>44562</v>
      </c>
      <c r="B46">
        <v>1</v>
      </c>
      <c r="C46" s="217" t="s">
        <v>241</v>
      </c>
      <c r="D46" s="1"/>
      <c r="O46" s="1"/>
    </row>
    <row r="47" spans="1:15" ht="15" x14ac:dyDescent="0.25">
      <c r="A47" s="159">
        <v>44593</v>
      </c>
      <c r="B47">
        <v>1</v>
      </c>
      <c r="C47" s="217" t="s">
        <v>241</v>
      </c>
      <c r="D47" s="1"/>
      <c r="O47" s="1"/>
    </row>
    <row r="48" spans="1:15" ht="15" x14ac:dyDescent="0.25">
      <c r="A48" s="159">
        <v>44621</v>
      </c>
      <c r="B48">
        <v>1</v>
      </c>
      <c r="C48" s="217" t="s">
        <v>241</v>
      </c>
      <c r="D48" s="1"/>
      <c r="O48" s="1"/>
    </row>
    <row r="49" spans="1:15" ht="15" x14ac:dyDescent="0.25">
      <c r="A49" s="159">
        <v>44652</v>
      </c>
      <c r="B49">
        <v>2</v>
      </c>
      <c r="C49" s="217" t="s">
        <v>241</v>
      </c>
      <c r="D49" s="1"/>
      <c r="O49" s="1"/>
    </row>
    <row r="50" spans="1:15" ht="15" x14ac:dyDescent="0.25">
      <c r="A50" s="159">
        <v>44682</v>
      </c>
      <c r="B50">
        <v>6</v>
      </c>
      <c r="C50" s="217" t="s">
        <v>241</v>
      </c>
      <c r="D50" s="1"/>
      <c r="O50" s="1"/>
    </row>
    <row r="51" spans="1:15" ht="15" x14ac:dyDescent="0.25">
      <c r="A51" s="159">
        <v>44713</v>
      </c>
      <c r="B51">
        <v>2</v>
      </c>
      <c r="C51" s="217" t="s">
        <v>241</v>
      </c>
      <c r="D51" s="1"/>
      <c r="O51" s="1"/>
    </row>
    <row r="52" spans="1:15" ht="15" x14ac:dyDescent="0.25">
      <c r="A52" s="159">
        <v>44743</v>
      </c>
      <c r="B52">
        <v>16</v>
      </c>
      <c r="C52" s="217" t="s">
        <v>241</v>
      </c>
      <c r="D52" s="1"/>
      <c r="O52" s="1"/>
    </row>
    <row r="53" spans="1:15" ht="15" x14ac:dyDescent="0.25">
      <c r="A53" s="159">
        <v>44774</v>
      </c>
      <c r="B53">
        <v>1</v>
      </c>
      <c r="C53" s="217" t="s">
        <v>241</v>
      </c>
      <c r="D53" s="1"/>
      <c r="O53" s="1"/>
    </row>
    <row r="54" spans="1:15" ht="15" x14ac:dyDescent="0.25">
      <c r="A54" s="159">
        <v>44805</v>
      </c>
      <c r="B54">
        <v>2</v>
      </c>
      <c r="C54" s="217" t="s">
        <v>241</v>
      </c>
      <c r="D54" s="1"/>
      <c r="O54" s="1"/>
    </row>
    <row r="55" spans="1:15" ht="15" x14ac:dyDescent="0.25">
      <c r="A55" s="159">
        <v>44835</v>
      </c>
      <c r="B55">
        <v>1</v>
      </c>
      <c r="C55" s="217" t="s">
        <v>241</v>
      </c>
      <c r="D55" s="1"/>
      <c r="O55" s="1"/>
    </row>
    <row r="56" spans="1:15" ht="15" x14ac:dyDescent="0.25">
      <c r="A56" s="159">
        <v>44866</v>
      </c>
      <c r="B56">
        <v>8</v>
      </c>
      <c r="C56" s="217" t="s">
        <v>241</v>
      </c>
      <c r="D56" s="160"/>
      <c r="O56" s="1"/>
    </row>
    <row r="57" spans="1:15" ht="15" x14ac:dyDescent="0.25">
      <c r="A57" s="159">
        <v>44896</v>
      </c>
      <c r="B57">
        <v>1</v>
      </c>
      <c r="C57" s="217" t="s">
        <v>241</v>
      </c>
      <c r="D57" s="1"/>
      <c r="O57" s="1"/>
    </row>
    <row r="58" spans="1:15" ht="15" x14ac:dyDescent="0.25">
      <c r="A58" s="159">
        <v>44927</v>
      </c>
      <c r="B58">
        <v>2</v>
      </c>
      <c r="C58" s="217" t="s">
        <v>241</v>
      </c>
      <c r="D58" s="1"/>
      <c r="O58" s="1"/>
    </row>
    <row r="59" spans="1:15" ht="15" x14ac:dyDescent="0.25">
      <c r="A59" s="159">
        <v>44958</v>
      </c>
      <c r="B59">
        <v>5</v>
      </c>
      <c r="C59" s="217" t="s">
        <v>241</v>
      </c>
      <c r="D59" s="1"/>
      <c r="O59" s="1"/>
    </row>
    <row r="60" spans="1:15" ht="15" x14ac:dyDescent="0.25">
      <c r="A60" s="159">
        <v>44986</v>
      </c>
      <c r="B60">
        <v>18</v>
      </c>
      <c r="C60" s="217" t="s">
        <v>241</v>
      </c>
      <c r="D60" s="1"/>
      <c r="O60" s="1"/>
    </row>
    <row r="61" spans="1:15" ht="15" x14ac:dyDescent="0.25">
      <c r="A61" s="159">
        <v>45017</v>
      </c>
      <c r="B61">
        <v>7</v>
      </c>
      <c r="C61" s="217" t="s">
        <v>241</v>
      </c>
      <c r="D61" s="1"/>
      <c r="O61" s="1"/>
    </row>
    <row r="62" spans="1:15" ht="15" x14ac:dyDescent="0.25">
      <c r="A62" s="159">
        <v>45047</v>
      </c>
      <c r="B62">
        <v>2</v>
      </c>
      <c r="C62" s="217" t="s">
        <v>241</v>
      </c>
      <c r="D62" s="1"/>
      <c r="O62" s="1"/>
    </row>
    <row r="63" spans="1:15" ht="15" x14ac:dyDescent="0.25">
      <c r="A63" s="159">
        <v>45078</v>
      </c>
      <c r="B63">
        <v>2</v>
      </c>
      <c r="C63" s="217" t="s">
        <v>241</v>
      </c>
      <c r="D63" s="1"/>
      <c r="O63" s="1"/>
    </row>
    <row r="64" spans="1:15" ht="15" x14ac:dyDescent="0.25">
      <c r="A64" s="159">
        <v>45108</v>
      </c>
      <c r="B64">
        <v>0</v>
      </c>
      <c r="C64" s="217" t="s">
        <v>241</v>
      </c>
      <c r="D64" s="1"/>
      <c r="O64" s="1"/>
    </row>
    <row r="65" spans="1:15" x14ac:dyDescent="0.2">
      <c r="A65" s="159"/>
      <c r="C65" s="81"/>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D19" sqref="D19"/>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8"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39"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3" customWidth="1"/>
    <col min="34" max="16384" width="9.140625" style="1"/>
  </cols>
  <sheetData>
    <row r="1" spans="1:25" ht="23.25" x14ac:dyDescent="0.35">
      <c r="A1" s="262" t="s">
        <v>314</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H8" zoomScaleNormal="100" workbookViewId="0">
      <selection activeCell="AG47" sqref="AG47"/>
    </sheetView>
  </sheetViews>
  <sheetFormatPr defaultColWidth="9.140625" defaultRowHeight="14.25" x14ac:dyDescent="0.2"/>
  <cols>
    <col min="1" max="1" width="32" style="1" customWidth="1"/>
    <col min="2" max="2" width="8.140625" style="1" customWidth="1"/>
    <col min="3" max="3" width="10.85546875" style="1" customWidth="1"/>
    <col min="4" max="4" width="7.28515625" style="38"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39"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315</v>
      </c>
      <c r="B1" s="262"/>
      <c r="C1" s="262"/>
      <c r="D1" s="262"/>
      <c r="E1" s="262"/>
      <c r="F1" s="262"/>
      <c r="G1" s="262"/>
      <c r="H1" s="262"/>
      <c r="I1" s="262"/>
      <c r="J1" s="262"/>
      <c r="K1" s="262"/>
      <c r="L1" s="262"/>
      <c r="M1" s="262"/>
      <c r="N1" s="262"/>
      <c r="O1" s="262"/>
      <c r="P1" s="262"/>
      <c r="Q1" s="262"/>
      <c r="R1" s="262"/>
    </row>
    <row r="2" spans="1:27" ht="15" thickBot="1" x14ac:dyDescent="0.25">
      <c r="B2" s="37"/>
      <c r="C2" s="37"/>
      <c r="P2" s="1"/>
      <c r="Q2" s="39"/>
    </row>
    <row r="3" spans="1:27" ht="12.75" customHeight="1" thickBot="1" x14ac:dyDescent="0.25">
      <c r="A3" s="327" t="s">
        <v>29</v>
      </c>
      <c r="B3" s="330" t="s">
        <v>30</v>
      </c>
      <c r="C3" s="261"/>
      <c r="D3" s="297" t="s">
        <v>31</v>
      </c>
      <c r="E3" s="298"/>
      <c r="F3" s="211" t="s">
        <v>33</v>
      </c>
      <c r="G3" s="210" t="s">
        <v>33</v>
      </c>
      <c r="H3" s="210" t="s">
        <v>33</v>
      </c>
      <c r="I3" s="303" t="s">
        <v>33</v>
      </c>
      <c r="J3" s="303"/>
      <c r="K3" s="210" t="s">
        <v>34</v>
      </c>
      <c r="L3" s="210"/>
      <c r="M3" s="210" t="s">
        <v>35</v>
      </c>
      <c r="N3" s="210" t="s">
        <v>35</v>
      </c>
      <c r="O3" s="212" t="s">
        <v>35</v>
      </c>
      <c r="P3" s="1"/>
      <c r="Q3" s="39"/>
      <c r="V3" s="273" t="s">
        <v>279</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39"/>
      <c r="U4" s="1" t="s">
        <v>130</v>
      </c>
      <c r="V4" s="43" t="s">
        <v>131</v>
      </c>
      <c r="W4" s="43" t="s">
        <v>48</v>
      </c>
      <c r="X4" s="43" t="s">
        <v>50</v>
      </c>
      <c r="Y4" s="43" t="s">
        <v>132</v>
      </c>
      <c r="Z4" s="43" t="s">
        <v>133</v>
      </c>
      <c r="AA4" s="43" t="s">
        <v>134</v>
      </c>
    </row>
    <row r="5" spans="1:27" ht="26.25" customHeight="1" thickBot="1" x14ac:dyDescent="0.25">
      <c r="A5" s="329"/>
      <c r="B5" s="302"/>
      <c r="C5" s="324"/>
      <c r="D5" s="291"/>
      <c r="E5" s="293"/>
      <c r="F5" s="311"/>
      <c r="G5" s="309"/>
      <c r="H5" s="309"/>
      <c r="I5" s="44" t="s">
        <v>48</v>
      </c>
      <c r="J5" s="44" t="s">
        <v>49</v>
      </c>
      <c r="K5" s="207" t="s">
        <v>50</v>
      </c>
      <c r="L5" s="207" t="s">
        <v>51</v>
      </c>
      <c r="M5" s="313"/>
      <c r="N5" s="313"/>
      <c r="O5" s="326"/>
      <c r="P5" s="1"/>
      <c r="Q5" s="39"/>
      <c r="U5" s="1">
        <v>0</v>
      </c>
      <c r="V5" s="45">
        <f>H6</f>
        <v>17.659320962360489</v>
      </c>
      <c r="W5" s="45">
        <f>I6</f>
        <v>20.720267857142858</v>
      </c>
      <c r="X5" s="45">
        <f>K6</f>
        <v>22.792294642857147</v>
      </c>
      <c r="Y5" s="45">
        <f>M6</f>
        <v>25.071524107142864</v>
      </c>
      <c r="Z5" s="45" t="str">
        <f>N6</f>
        <v>-</v>
      </c>
      <c r="AA5" s="45" t="str">
        <f>O6</f>
        <v>-</v>
      </c>
    </row>
    <row r="6" spans="1:27" x14ac:dyDescent="0.2">
      <c r="A6" s="110" t="s">
        <v>58</v>
      </c>
      <c r="B6" s="111">
        <f>'1A'!B14</f>
        <v>14.39</v>
      </c>
      <c r="C6" s="112">
        <f>'1A'!C14</f>
        <v>29931.200000000001</v>
      </c>
      <c r="D6" s="58">
        <f>'1A'!D14</f>
        <v>20.720267857142858</v>
      </c>
      <c r="E6" s="113">
        <f>'1A'!E14</f>
        <v>43098.157142857148</v>
      </c>
      <c r="F6" s="58">
        <f>'1A'!F14</f>
        <v>17.659320962360489</v>
      </c>
      <c r="G6" s="58">
        <f>'1A'!G14</f>
        <v>17.659320962360489</v>
      </c>
      <c r="H6" s="58">
        <f>'1A'!H14</f>
        <v>17.659320962360489</v>
      </c>
      <c r="I6" s="59">
        <f>'1A'!I14</f>
        <v>20.720267857142858</v>
      </c>
      <c r="J6" s="115">
        <f>'1A'!J14</f>
        <v>21.756281250000001</v>
      </c>
      <c r="K6" s="59">
        <f>'1A'!K14</f>
        <v>22.792294642857147</v>
      </c>
      <c r="L6" s="59">
        <f>'1A'!L14</f>
        <v>23.931909375000007</v>
      </c>
      <c r="M6" s="59">
        <f>'1A'!M14</f>
        <v>25.071524107142864</v>
      </c>
      <c r="N6" s="59" t="s">
        <v>59</v>
      </c>
      <c r="O6" s="161" t="s">
        <v>59</v>
      </c>
      <c r="P6" s="1"/>
      <c r="U6" s="1">
        <v>1</v>
      </c>
      <c r="V6" s="45">
        <f t="shared" ref="V6:V25" si="0">V5*1.025</f>
        <v>18.1008039864195</v>
      </c>
      <c r="W6" s="45">
        <f t="shared" ref="W6:W25" si="1">W5*1.025</f>
        <v>21.238274553571426</v>
      </c>
      <c r="X6" s="45">
        <f t="shared" ref="X6:X25" si="2">X5*1.025</f>
        <v>23.362102008928574</v>
      </c>
      <c r="Y6" s="45">
        <f t="shared" ref="Y6:Y25" si="3">Y5*1.025</f>
        <v>25.698312209821434</v>
      </c>
      <c r="Z6" s="45" t="e">
        <f t="shared" ref="Z6:AA21" si="4">Z5+0.15</f>
        <v>#VALUE!</v>
      </c>
      <c r="AA6" s="45" t="e">
        <f t="shared" si="4"/>
        <v>#VALUE!</v>
      </c>
    </row>
    <row r="7" spans="1:27" x14ac:dyDescent="0.2">
      <c r="A7" s="286" t="s">
        <v>135</v>
      </c>
      <c r="B7" s="287"/>
      <c r="C7" s="287"/>
      <c r="D7" s="287"/>
      <c r="E7" s="287"/>
      <c r="F7" s="287"/>
      <c r="G7" s="287"/>
      <c r="H7" s="288"/>
      <c r="I7" s="54">
        <f>I6-H6</f>
        <v>3.0609468947823686</v>
      </c>
      <c r="J7" s="54">
        <f t="shared" ref="J7:M7" si="5">J6-I6</f>
        <v>1.0360133928571429</v>
      </c>
      <c r="K7" s="54">
        <f t="shared" si="5"/>
        <v>1.0360133928571464</v>
      </c>
      <c r="L7" s="54">
        <f>L6-K6</f>
        <v>1.13961473214286</v>
      </c>
      <c r="M7" s="54">
        <f t="shared" si="5"/>
        <v>1.1396147321428565</v>
      </c>
      <c r="N7" s="54" t="s">
        <v>316</v>
      </c>
      <c r="O7" s="54" t="s">
        <v>316</v>
      </c>
      <c r="P7" s="1"/>
      <c r="U7" s="1">
        <v>2</v>
      </c>
      <c r="V7" s="45">
        <f t="shared" si="0"/>
        <v>18.553324086079986</v>
      </c>
      <c r="W7" s="45">
        <f t="shared" si="1"/>
        <v>21.769231417410708</v>
      </c>
      <c r="X7" s="45">
        <f t="shared" si="2"/>
        <v>23.946154559151786</v>
      </c>
      <c r="Y7" s="45">
        <f t="shared" si="3"/>
        <v>26.340770015066969</v>
      </c>
      <c r="Z7" s="45" t="e">
        <f t="shared" si="4"/>
        <v>#VALUE!</v>
      </c>
      <c r="AA7" s="45" t="e">
        <f t="shared" si="4"/>
        <v>#VALUE!</v>
      </c>
    </row>
    <row r="8" spans="1:27" x14ac:dyDescent="0.2">
      <c r="A8" s="55" t="s">
        <v>67</v>
      </c>
      <c r="B8" s="58">
        <f>'1A'!B22</f>
        <v>14.39</v>
      </c>
      <c r="C8" s="113">
        <f>'1A'!C22</f>
        <v>29931.200000000001</v>
      </c>
      <c r="D8" s="58">
        <f>'1A'!D22</f>
        <v>18.83660714285714</v>
      </c>
      <c r="E8" s="113">
        <f>'1A'!E22</f>
        <v>39180.142857142848</v>
      </c>
      <c r="F8" s="58">
        <f>'1A'!F22</f>
        <v>16.053928147600445</v>
      </c>
      <c r="G8" s="59">
        <f>'1A'!G22</f>
        <v>16.053928147600445</v>
      </c>
      <c r="H8" s="59">
        <f>'1A'!H22</f>
        <v>16.053928147600445</v>
      </c>
      <c r="I8" s="60">
        <f>'1A'!I22</f>
        <v>18.83660714285714</v>
      </c>
      <c r="J8" s="60">
        <f>'1A'!J22</f>
        <v>19.778437499999999</v>
      </c>
      <c r="K8" s="60">
        <f>'1A'!K22</f>
        <v>20.720267857142854</v>
      </c>
      <c r="L8" s="60">
        <f>'1A'!L22</f>
        <v>21.756281249999997</v>
      </c>
      <c r="M8" s="60">
        <f>'1A'!M22</f>
        <v>22.79229464285714</v>
      </c>
      <c r="N8" s="60" t="s">
        <v>59</v>
      </c>
      <c r="O8" s="61" t="s">
        <v>59</v>
      </c>
      <c r="P8" s="1"/>
      <c r="U8" s="1">
        <v>3</v>
      </c>
      <c r="V8" s="45">
        <f t="shared" si="0"/>
        <v>19.017157188231984</v>
      </c>
      <c r="W8" s="45">
        <f t="shared" si="1"/>
        <v>22.313462202845972</v>
      </c>
      <c r="X8" s="45">
        <f t="shared" si="2"/>
        <v>24.544808423130579</v>
      </c>
      <c r="Y8" s="45">
        <f t="shared" si="3"/>
        <v>26.99928926544364</v>
      </c>
      <c r="Z8" s="45" t="e">
        <f t="shared" si="4"/>
        <v>#VALUE!</v>
      </c>
      <c r="AA8" s="45" t="e">
        <f t="shared" si="4"/>
        <v>#VALUE!</v>
      </c>
    </row>
    <row r="9" spans="1:27" x14ac:dyDescent="0.2">
      <c r="A9" s="286" t="s">
        <v>135</v>
      </c>
      <c r="B9" s="287"/>
      <c r="C9" s="287"/>
      <c r="D9" s="287"/>
      <c r="E9" s="287"/>
      <c r="F9" s="287"/>
      <c r="G9" s="287"/>
      <c r="H9" s="288"/>
      <c r="I9" s="54">
        <f>I8-H8</f>
        <v>2.7826789952566955</v>
      </c>
      <c r="J9" s="54">
        <f t="shared" ref="J9:M9" si="6">J8-I8</f>
        <v>0.94183035714285879</v>
      </c>
      <c r="K9" s="54">
        <f t="shared" si="6"/>
        <v>0.94183035714285523</v>
      </c>
      <c r="L9" s="54">
        <f t="shared" si="6"/>
        <v>1.0360133928571429</v>
      </c>
      <c r="M9" s="54">
        <f t="shared" si="6"/>
        <v>1.0360133928571429</v>
      </c>
      <c r="N9" s="54" t="s">
        <v>316</v>
      </c>
      <c r="O9" s="54" t="s">
        <v>316</v>
      </c>
      <c r="P9" s="1"/>
      <c r="U9" s="1">
        <v>4</v>
      </c>
      <c r="V9" s="45">
        <f t="shared" si="0"/>
        <v>19.492586117937783</v>
      </c>
      <c r="W9" s="45">
        <f t="shared" si="1"/>
        <v>22.871298757917121</v>
      </c>
      <c r="X9" s="45">
        <f t="shared" si="2"/>
        <v>25.158428633708841</v>
      </c>
      <c r="Y9" s="45">
        <f t="shared" si="3"/>
        <v>27.674271497079729</v>
      </c>
      <c r="Z9" s="45" t="e">
        <f t="shared" si="4"/>
        <v>#VALUE!</v>
      </c>
      <c r="AA9" s="45" t="e">
        <f t="shared" si="4"/>
        <v>#VALUE!</v>
      </c>
    </row>
    <row r="10" spans="1:27" x14ac:dyDescent="0.2">
      <c r="P10" s="1"/>
      <c r="Q10" s="39"/>
      <c r="U10" s="1">
        <v>5</v>
      </c>
      <c r="V10" s="45">
        <f t="shared" si="0"/>
        <v>19.979900770886225</v>
      </c>
      <c r="W10" s="45">
        <f t="shared" si="1"/>
        <v>23.443081226865047</v>
      </c>
      <c r="X10" s="45">
        <f t="shared" si="2"/>
        <v>25.78738934955156</v>
      </c>
      <c r="Y10" s="45">
        <f t="shared" si="3"/>
        <v>28.366128284506722</v>
      </c>
      <c r="Z10" s="45" t="e">
        <f t="shared" si="4"/>
        <v>#VALUE!</v>
      </c>
      <c r="AA10" s="45" t="e">
        <f t="shared" si="4"/>
        <v>#VALUE!</v>
      </c>
    </row>
    <row r="11" spans="1:27" x14ac:dyDescent="0.2">
      <c r="P11" s="1"/>
      <c r="Q11" s="39"/>
      <c r="U11" s="1">
        <v>6</v>
      </c>
      <c r="V11" s="45">
        <f t="shared" si="0"/>
        <v>20.479398290158379</v>
      </c>
      <c r="W11" s="45">
        <f t="shared" si="1"/>
        <v>24.029158257536672</v>
      </c>
      <c r="X11" s="45">
        <f t="shared" si="2"/>
        <v>26.432074083290345</v>
      </c>
      <c r="Y11" s="45">
        <f t="shared" si="3"/>
        <v>29.075281491619389</v>
      </c>
      <c r="Z11" s="45" t="e">
        <f t="shared" si="4"/>
        <v>#VALUE!</v>
      </c>
      <c r="AA11" s="45" t="e">
        <f t="shared" si="4"/>
        <v>#VALUE!</v>
      </c>
    </row>
    <row r="12" spans="1:27" x14ac:dyDescent="0.2">
      <c r="P12" s="1"/>
      <c r="Q12" s="39"/>
      <c r="U12" s="1">
        <v>7</v>
      </c>
      <c r="V12" s="45">
        <f t="shared" si="0"/>
        <v>20.991383247412337</v>
      </c>
      <c r="W12" s="45">
        <f t="shared" si="1"/>
        <v>24.629887213975085</v>
      </c>
      <c r="X12" s="45">
        <f t="shared" si="2"/>
        <v>27.0928759353726</v>
      </c>
      <c r="Y12" s="45">
        <f t="shared" si="3"/>
        <v>29.802163528909873</v>
      </c>
      <c r="Z12" s="45" t="e">
        <f t="shared" si="4"/>
        <v>#VALUE!</v>
      </c>
      <c r="AA12" s="45" t="e">
        <f t="shared" si="4"/>
        <v>#VALUE!</v>
      </c>
    </row>
    <row r="13" spans="1:27" x14ac:dyDescent="0.2">
      <c r="U13" s="1">
        <v>8</v>
      </c>
      <c r="V13" s="45">
        <f t="shared" si="0"/>
        <v>21.516167828597645</v>
      </c>
      <c r="W13" s="45">
        <f t="shared" si="1"/>
        <v>25.245634394324458</v>
      </c>
      <c r="X13" s="45">
        <f t="shared" si="2"/>
        <v>27.770197833756914</v>
      </c>
      <c r="Y13" s="45">
        <f t="shared" si="3"/>
        <v>30.547217617132617</v>
      </c>
      <c r="Z13" s="45" t="e">
        <f t="shared" ref="Z13:AA13" si="7">Z12+0.15</f>
        <v>#VALUE!</v>
      </c>
      <c r="AA13" s="45" t="e">
        <f t="shared" si="7"/>
        <v>#VALUE!</v>
      </c>
    </row>
    <row r="14" spans="1:27" ht="15.75" x14ac:dyDescent="0.25">
      <c r="T14" s="28"/>
      <c r="U14" s="1">
        <v>9</v>
      </c>
      <c r="V14" s="45">
        <f t="shared" si="0"/>
        <v>22.054072024312585</v>
      </c>
      <c r="W14" s="45">
        <f t="shared" si="1"/>
        <v>25.876775254182569</v>
      </c>
      <c r="X14" s="45">
        <f t="shared" si="2"/>
        <v>28.464452779600833</v>
      </c>
      <c r="Y14" s="45">
        <f t="shared" si="3"/>
        <v>31.31089805756093</v>
      </c>
      <c r="Z14" s="45" t="e">
        <f t="shared" ref="Z14:AA14" si="8">Z13+0.15</f>
        <v>#VALUE!</v>
      </c>
      <c r="AA14" s="45" t="e">
        <f t="shared" si="8"/>
        <v>#VALUE!</v>
      </c>
    </row>
    <row r="15" spans="1:27" ht="16.5" thickBot="1" x14ac:dyDescent="0.3">
      <c r="A15" s="28" t="s">
        <v>317</v>
      </c>
      <c r="B15" s="28"/>
      <c r="C15" s="28"/>
      <c r="D15" s="28"/>
      <c r="E15" s="28"/>
      <c r="F15" s="28"/>
      <c r="G15" s="28"/>
      <c r="H15" s="28"/>
      <c r="I15" s="28"/>
      <c r="J15" s="28"/>
      <c r="K15" s="28"/>
      <c r="L15" s="28"/>
      <c r="M15" s="28"/>
      <c r="N15" s="28"/>
      <c r="O15" s="28"/>
      <c r="P15" s="28"/>
      <c r="Q15" s="28"/>
      <c r="R15" s="28"/>
      <c r="S15" s="28"/>
      <c r="T15" s="62"/>
      <c r="U15" s="1">
        <v>10</v>
      </c>
      <c r="V15" s="45">
        <f t="shared" si="0"/>
        <v>22.605423824920397</v>
      </c>
      <c r="W15" s="45">
        <f t="shared" si="1"/>
        <v>26.523694635537129</v>
      </c>
      <c r="X15" s="45">
        <f t="shared" si="2"/>
        <v>29.176064099090851</v>
      </c>
      <c r="Y15" s="45">
        <f t="shared" si="3"/>
        <v>32.093670508999949</v>
      </c>
      <c r="Z15" s="45" t="e">
        <f t="shared" si="4"/>
        <v>#VALUE!</v>
      </c>
      <c r="AA15" s="45" t="e">
        <f t="shared" si="4"/>
        <v>#VALUE!</v>
      </c>
    </row>
    <row r="16" spans="1:27" ht="15.75" thickBot="1" x14ac:dyDescent="0.3">
      <c r="A16" s="274" t="s">
        <v>137</v>
      </c>
      <c r="B16" s="277" t="s">
        <v>33</v>
      </c>
      <c r="C16" s="278"/>
      <c r="D16" s="278"/>
      <c r="E16" s="278" t="s">
        <v>33</v>
      </c>
      <c r="F16" s="278"/>
      <c r="G16" s="278"/>
      <c r="H16" s="278" t="s">
        <v>34</v>
      </c>
      <c r="I16" s="278"/>
      <c r="J16" s="278"/>
      <c r="K16" s="278" t="s">
        <v>35</v>
      </c>
      <c r="L16" s="278"/>
      <c r="M16" s="278"/>
      <c r="N16" s="278" t="s">
        <v>35</v>
      </c>
      <c r="O16" s="278"/>
      <c r="P16" s="279"/>
      <c r="Q16" s="278" t="s">
        <v>35</v>
      </c>
      <c r="R16" s="278"/>
      <c r="S16" s="279"/>
      <c r="T16" s="63"/>
      <c r="U16" s="1">
        <v>11</v>
      </c>
      <c r="V16" s="45">
        <f t="shared" si="0"/>
        <v>23.170559420543405</v>
      </c>
      <c r="W16" s="45">
        <f t="shared" si="1"/>
        <v>27.186787001425554</v>
      </c>
      <c r="X16" s="45">
        <f t="shared" si="2"/>
        <v>29.905465701568119</v>
      </c>
      <c r="Y16" s="45">
        <f t="shared" si="3"/>
        <v>32.896012271724942</v>
      </c>
      <c r="Z16" s="45" t="e">
        <f t="shared" si="4"/>
        <v>#VALUE!</v>
      </c>
      <c r="AA16" s="45" t="e">
        <f t="shared" si="4"/>
        <v>#VALUE!</v>
      </c>
    </row>
    <row r="17" spans="1:27" ht="15" x14ac:dyDescent="0.2">
      <c r="A17" s="275"/>
      <c r="B17" s="280" t="s">
        <v>138</v>
      </c>
      <c r="C17" s="281"/>
      <c r="D17" s="281"/>
      <c r="E17" s="294" t="s">
        <v>129</v>
      </c>
      <c r="F17" s="295"/>
      <c r="G17" s="296"/>
      <c r="H17" s="294" t="s">
        <v>43</v>
      </c>
      <c r="I17" s="295"/>
      <c r="J17" s="296"/>
      <c r="K17" s="283" t="s">
        <v>139</v>
      </c>
      <c r="L17" s="284"/>
      <c r="M17" s="285"/>
      <c r="N17" s="283" t="s">
        <v>45</v>
      </c>
      <c r="O17" s="284"/>
      <c r="P17" s="285"/>
      <c r="Q17" s="283" t="s">
        <v>140</v>
      </c>
      <c r="R17" s="284"/>
      <c r="S17" s="285"/>
      <c r="T17" s="70"/>
      <c r="U17" s="1">
        <v>12</v>
      </c>
      <c r="V17" s="45">
        <f t="shared" si="0"/>
        <v>23.74982340605699</v>
      </c>
      <c r="W17" s="45">
        <f t="shared" si="1"/>
        <v>27.866456676461191</v>
      </c>
      <c r="X17" s="45">
        <f t="shared" si="2"/>
        <v>30.653102344107317</v>
      </c>
      <c r="Y17" s="45">
        <f t="shared" si="3"/>
        <v>33.718412578518063</v>
      </c>
      <c r="Z17" s="45" t="e">
        <f t="shared" si="4"/>
        <v>#VALUE!</v>
      </c>
      <c r="AA17" s="45" t="e">
        <f t="shared" si="4"/>
        <v>#VALUE!</v>
      </c>
    </row>
    <row r="18" spans="1:27" ht="15" thickBot="1" x14ac:dyDescent="0.25">
      <c r="A18" s="276"/>
      <c r="B18" s="64" t="s">
        <v>141</v>
      </c>
      <c r="C18" s="65" t="s">
        <v>142</v>
      </c>
      <c r="D18" s="65" t="s">
        <v>143</v>
      </c>
      <c r="E18" s="66" t="s">
        <v>141</v>
      </c>
      <c r="F18" s="67" t="s">
        <v>142</v>
      </c>
      <c r="G18" s="68" t="s">
        <v>143</v>
      </c>
      <c r="H18" s="65" t="s">
        <v>141</v>
      </c>
      <c r="I18" s="65" t="s">
        <v>142</v>
      </c>
      <c r="J18" s="69" t="s">
        <v>143</v>
      </c>
      <c r="K18" s="64" t="s">
        <v>141</v>
      </c>
      <c r="L18" s="65" t="s">
        <v>142</v>
      </c>
      <c r="M18" s="69" t="s">
        <v>143</v>
      </c>
      <c r="N18" s="64" t="s">
        <v>141</v>
      </c>
      <c r="O18" s="65" t="s">
        <v>142</v>
      </c>
      <c r="P18" s="69" t="s">
        <v>143</v>
      </c>
      <c r="Q18" s="64" t="s">
        <v>141</v>
      </c>
      <c r="R18" s="65" t="s">
        <v>142</v>
      </c>
      <c r="S18" s="69" t="s">
        <v>143</v>
      </c>
      <c r="T18" s="72"/>
      <c r="U18" s="1">
        <v>13</v>
      </c>
      <c r="V18" s="45">
        <f t="shared" si="0"/>
        <v>24.343568991208414</v>
      </c>
      <c r="W18" s="45">
        <f t="shared" si="1"/>
        <v>28.563118093372719</v>
      </c>
      <c r="X18" s="45">
        <f t="shared" si="2"/>
        <v>31.419429902709997</v>
      </c>
      <c r="Y18" s="45">
        <f t="shared" si="3"/>
        <v>34.561372892981012</v>
      </c>
      <c r="Z18" s="45" t="e">
        <f t="shared" si="4"/>
        <v>#VALUE!</v>
      </c>
      <c r="AA18" s="45" t="e">
        <f t="shared" si="4"/>
        <v>#VALUE!</v>
      </c>
    </row>
    <row r="19" spans="1:27" x14ac:dyDescent="0.2">
      <c r="A19" s="71" t="s">
        <v>144</v>
      </c>
      <c r="B19" s="72">
        <f>F6</f>
        <v>17.659320962360489</v>
      </c>
      <c r="C19" s="72">
        <f>MEDIAN(B19,D19)</f>
        <v>18.338239075296237</v>
      </c>
      <c r="D19" s="72">
        <f>B19*((1.025)^3)</f>
        <v>19.017157188231987</v>
      </c>
      <c r="E19" s="73">
        <f>I6</f>
        <v>20.720267857142858</v>
      </c>
      <c r="F19" s="72">
        <f>MEDIAN(E19,G19)</f>
        <v>21.51686502999442</v>
      </c>
      <c r="G19" s="74">
        <f>E19*((1.025)^3)</f>
        <v>22.313462202845979</v>
      </c>
      <c r="H19" s="72">
        <f>K6</f>
        <v>22.792294642857147</v>
      </c>
      <c r="I19" s="72">
        <f>MEDIAN(H19,J19)</f>
        <v>23.668551532993867</v>
      </c>
      <c r="J19" s="74">
        <f>H19*((1.025)^3)</f>
        <v>24.544808423130583</v>
      </c>
      <c r="K19" s="73">
        <f>M6</f>
        <v>25.071524107142864</v>
      </c>
      <c r="L19" s="72">
        <f>MEDIAN(K19,M19)</f>
        <v>26.035406686293253</v>
      </c>
      <c r="M19" s="74">
        <f>K19*((1.025)^3)</f>
        <v>26.999289265443643</v>
      </c>
      <c r="N19" s="73" t="s">
        <v>316</v>
      </c>
      <c r="O19" s="72" t="s">
        <v>316</v>
      </c>
      <c r="P19" s="74" t="s">
        <v>316</v>
      </c>
      <c r="Q19" s="73" t="s">
        <v>316</v>
      </c>
      <c r="R19" s="72" t="s">
        <v>316</v>
      </c>
      <c r="S19" s="74" t="s">
        <v>316</v>
      </c>
      <c r="T19" s="72"/>
      <c r="U19" s="1">
        <v>14</v>
      </c>
      <c r="V19" s="45">
        <f t="shared" si="0"/>
        <v>24.952158215988621</v>
      </c>
      <c r="W19" s="45">
        <f t="shared" si="1"/>
        <v>29.277196045707033</v>
      </c>
      <c r="X19" s="45">
        <f t="shared" si="2"/>
        <v>32.204915650277741</v>
      </c>
      <c r="Y19" s="45">
        <f t="shared" si="3"/>
        <v>35.425407215305533</v>
      </c>
      <c r="Z19" s="45" t="e">
        <f t="shared" si="4"/>
        <v>#VALUE!</v>
      </c>
      <c r="AA19" s="45" t="e">
        <f t="shared" si="4"/>
        <v>#VALUE!</v>
      </c>
    </row>
    <row r="20" spans="1:27" x14ac:dyDescent="0.2">
      <c r="A20" s="75" t="s">
        <v>145</v>
      </c>
      <c r="B20" s="72">
        <f>B19*((1.025)^4)</f>
        <v>19.492586117937783</v>
      </c>
      <c r="C20" s="72">
        <f t="shared" ref="C20:C24" si="9">MEDIAN(B20,D20)</f>
        <v>19.985992204048081</v>
      </c>
      <c r="D20" s="72">
        <f>B19*((1.025)^6)</f>
        <v>20.479398290158382</v>
      </c>
      <c r="E20" s="73">
        <f>E19*((1.025)^4)</f>
        <v>22.871298757917128</v>
      </c>
      <c r="F20" s="72">
        <f t="shared" ref="F20:F24" si="10">MEDIAN(E20,G20)</f>
        <v>23.450228507726905</v>
      </c>
      <c r="G20" s="74">
        <f>E19*((1.025)^6)</f>
        <v>24.029158257536679</v>
      </c>
      <c r="H20" s="72">
        <f>H19*((1.025)^4)</f>
        <v>25.158428633708844</v>
      </c>
      <c r="I20" s="72">
        <f t="shared" ref="I20:I24" si="11">MEDIAN(H20,J20)</f>
        <v>25.795251358499598</v>
      </c>
      <c r="J20" s="74">
        <f>H19*((1.025)^6)</f>
        <v>26.432074083290349</v>
      </c>
      <c r="K20" s="73">
        <f>K19*((1.025)^4)</f>
        <v>27.674271497079729</v>
      </c>
      <c r="L20" s="72">
        <f t="shared" ref="L20:L24" si="12">MEDIAN(K20,M20)</f>
        <v>28.374776494349558</v>
      </c>
      <c r="M20" s="74">
        <f>K19*((1.025)^6)</f>
        <v>29.075281491619386</v>
      </c>
      <c r="N20" s="73" t="s">
        <v>316</v>
      </c>
      <c r="O20" s="72" t="s">
        <v>316</v>
      </c>
      <c r="P20" s="74" t="s">
        <v>316</v>
      </c>
      <c r="Q20" s="73" t="s">
        <v>316</v>
      </c>
      <c r="R20" s="72" t="s">
        <v>316</v>
      </c>
      <c r="S20" s="74" t="s">
        <v>316</v>
      </c>
      <c r="T20" s="72"/>
      <c r="U20" s="1">
        <v>15</v>
      </c>
      <c r="V20" s="45">
        <f t="shared" si="0"/>
        <v>25.575962171388333</v>
      </c>
      <c r="W20" s="45">
        <f t="shared" si="1"/>
        <v>30.009125946849707</v>
      </c>
      <c r="X20" s="45">
        <f t="shared" si="2"/>
        <v>33.010038541534684</v>
      </c>
      <c r="Y20" s="45">
        <f t="shared" si="3"/>
        <v>36.311042395688169</v>
      </c>
      <c r="Z20" s="45" t="e">
        <f t="shared" si="4"/>
        <v>#VALUE!</v>
      </c>
      <c r="AA20" s="45" t="e">
        <f t="shared" si="4"/>
        <v>#VALUE!</v>
      </c>
    </row>
    <row r="21" spans="1:27" x14ac:dyDescent="0.2">
      <c r="A21" s="75" t="s">
        <v>146</v>
      </c>
      <c r="B21" s="72">
        <f>B19*((1.025)^7)</f>
        <v>20.99138324741234</v>
      </c>
      <c r="C21" s="72">
        <f t="shared" si="9"/>
        <v>21.522727635862463</v>
      </c>
      <c r="D21" s="72">
        <f>B19*((1.025)^9)</f>
        <v>22.054072024312585</v>
      </c>
      <c r="E21" s="73">
        <f>E19*((1.025)^7)</f>
        <v>24.629887213975096</v>
      </c>
      <c r="F21" s="72">
        <f t="shared" si="10"/>
        <v>25.253331234078836</v>
      </c>
      <c r="G21" s="74">
        <f>E19*((1.025)^9)</f>
        <v>25.876775254182579</v>
      </c>
      <c r="H21" s="72">
        <f>H19*((1.025)^7)</f>
        <v>27.092875935372611</v>
      </c>
      <c r="I21" s="72">
        <f t="shared" si="11"/>
        <v>27.778664357486726</v>
      </c>
      <c r="J21" s="74">
        <f>H19*((1.025)^9)</f>
        <v>28.46445277960084</v>
      </c>
      <c r="K21" s="73">
        <f>K19*((1.025)^7)</f>
        <v>29.802163528909873</v>
      </c>
      <c r="L21" s="72">
        <f t="shared" si="12"/>
        <v>30.5565307932354</v>
      </c>
      <c r="M21" s="74">
        <f>K19*((1.025)^9)</f>
        <v>31.310898057560927</v>
      </c>
      <c r="N21" s="73" t="s">
        <v>316</v>
      </c>
      <c r="O21" s="72" t="s">
        <v>316</v>
      </c>
      <c r="P21" s="74" t="s">
        <v>316</v>
      </c>
      <c r="Q21" s="73" t="s">
        <v>316</v>
      </c>
      <c r="R21" s="72" t="s">
        <v>316</v>
      </c>
      <c r="S21" s="74" t="s">
        <v>316</v>
      </c>
      <c r="T21" s="72"/>
      <c r="U21" s="1">
        <v>16</v>
      </c>
      <c r="V21" s="45">
        <f t="shared" si="0"/>
        <v>26.215361225673039</v>
      </c>
      <c r="W21" s="45">
        <f t="shared" si="1"/>
        <v>30.759354095520948</v>
      </c>
      <c r="X21" s="45">
        <f t="shared" si="2"/>
        <v>33.83528950507305</v>
      </c>
      <c r="Y21" s="45">
        <f t="shared" si="3"/>
        <v>37.218818455580369</v>
      </c>
      <c r="Z21" s="45" t="e">
        <f t="shared" si="4"/>
        <v>#VALUE!</v>
      </c>
      <c r="AA21" s="45" t="e">
        <f t="shared" si="4"/>
        <v>#VALUE!</v>
      </c>
    </row>
    <row r="22" spans="1:27" x14ac:dyDescent="0.2">
      <c r="A22" s="75" t="s">
        <v>147</v>
      </c>
      <c r="B22" s="72">
        <f>B19*((1.025)^10)</f>
        <v>22.6054238249204</v>
      </c>
      <c r="C22" s="72">
        <f t="shared" si="9"/>
        <v>23.177623615488699</v>
      </c>
      <c r="D22" s="72">
        <f>B19*((1.025)^12)</f>
        <v>23.749823406056993</v>
      </c>
      <c r="E22" s="73">
        <f>E19*((1.025)^10)</f>
        <v>26.523694635537144</v>
      </c>
      <c r="F22" s="72">
        <f t="shared" si="10"/>
        <v>27.195075655999176</v>
      </c>
      <c r="G22" s="74">
        <f>E19*((1.025)^12)</f>
        <v>27.866456676461208</v>
      </c>
      <c r="H22" s="72">
        <f>H19*((1.025)^10)</f>
        <v>29.176064099090862</v>
      </c>
      <c r="I22" s="72">
        <f t="shared" si="11"/>
        <v>29.914583221599099</v>
      </c>
      <c r="J22" s="74">
        <f>H19*((1.025)^12)</f>
        <v>30.653102344107335</v>
      </c>
      <c r="K22" s="73">
        <f>K19*((1.025)^10)</f>
        <v>32.093670508999949</v>
      </c>
      <c r="L22" s="72">
        <f t="shared" si="12"/>
        <v>32.906041543759009</v>
      </c>
      <c r="M22" s="74">
        <f>K19*((1.025)^12)</f>
        <v>33.71841257851807</v>
      </c>
      <c r="N22" s="73" t="s">
        <v>316</v>
      </c>
      <c r="O22" s="72" t="s">
        <v>316</v>
      </c>
      <c r="P22" s="74" t="s">
        <v>316</v>
      </c>
      <c r="Q22" s="73" t="s">
        <v>316</v>
      </c>
      <c r="R22" s="72" t="s">
        <v>316</v>
      </c>
      <c r="S22" s="74" t="s">
        <v>316</v>
      </c>
      <c r="T22" s="72"/>
      <c r="U22" s="1">
        <v>17</v>
      </c>
      <c r="V22" s="45">
        <f t="shared" si="0"/>
        <v>26.870745256314862</v>
      </c>
      <c r="W22" s="45">
        <f t="shared" si="1"/>
        <v>31.52833794790897</v>
      </c>
      <c r="X22" s="45">
        <f t="shared" si="2"/>
        <v>34.681171742699874</v>
      </c>
      <c r="Y22" s="45">
        <f t="shared" si="3"/>
        <v>38.149288916969873</v>
      </c>
      <c r="Z22" s="45" t="e">
        <f t="shared" ref="Z22:AA22" si="13">Z21+0.15</f>
        <v>#VALUE!</v>
      </c>
      <c r="AA22" s="45" t="e">
        <f t="shared" si="13"/>
        <v>#VALUE!</v>
      </c>
    </row>
    <row r="23" spans="1:27" x14ac:dyDescent="0.2">
      <c r="A23" s="75" t="s">
        <v>148</v>
      </c>
      <c r="B23" s="72">
        <f>B19*((1.025)^13)</f>
        <v>24.343568991208418</v>
      </c>
      <c r="C23" s="72">
        <f t="shared" si="9"/>
        <v>24.959765581298381</v>
      </c>
      <c r="D23" s="72">
        <f>B19*((1.025)^15)</f>
        <v>25.575962171388344</v>
      </c>
      <c r="E23" s="73">
        <f>E19*((1.025)^13)</f>
        <v>28.563118093372736</v>
      </c>
      <c r="F23" s="72">
        <f t="shared" si="10"/>
        <v>29.286122020111236</v>
      </c>
      <c r="G23" s="74">
        <f>E19*((1.025)^15)</f>
        <v>30.009125946849736</v>
      </c>
      <c r="H23" s="72">
        <f>H19*((1.025)^13)</f>
        <v>31.419429902710018</v>
      </c>
      <c r="I23" s="72">
        <f t="shared" si="11"/>
        <v>32.214734222122367</v>
      </c>
      <c r="J23" s="74">
        <f>H19*((1.025)^15)</f>
        <v>33.010038541534712</v>
      </c>
      <c r="K23" s="73">
        <f>K19*((1.025)^13)</f>
        <v>34.561372892981019</v>
      </c>
      <c r="L23" s="72">
        <f t="shared" si="12"/>
        <v>35.436207644334601</v>
      </c>
      <c r="M23" s="74">
        <f>K19*((1.025)^15)</f>
        <v>36.311042395688183</v>
      </c>
      <c r="N23" s="73" t="s">
        <v>316</v>
      </c>
      <c r="O23" s="72" t="s">
        <v>316</v>
      </c>
      <c r="P23" s="74" t="s">
        <v>316</v>
      </c>
      <c r="Q23" s="73" t="s">
        <v>316</v>
      </c>
      <c r="R23" s="72" t="s">
        <v>316</v>
      </c>
      <c r="S23" s="74" t="s">
        <v>316</v>
      </c>
      <c r="T23" s="72"/>
      <c r="U23" s="1">
        <v>18</v>
      </c>
      <c r="V23" s="45">
        <f t="shared" si="0"/>
        <v>27.54251388772273</v>
      </c>
      <c r="W23" s="45">
        <f t="shared" si="1"/>
        <v>32.316546396606689</v>
      </c>
      <c r="X23" s="45">
        <f t="shared" si="2"/>
        <v>35.548201036267365</v>
      </c>
      <c r="Y23" s="45">
        <f t="shared" si="3"/>
        <v>39.103021139894118</v>
      </c>
      <c r="Z23" s="45" t="e">
        <f t="shared" ref="Z23:AA25" si="14">Z22+0.15</f>
        <v>#VALUE!</v>
      </c>
      <c r="AA23" s="45" t="e">
        <f t="shared" si="14"/>
        <v>#VALUE!</v>
      </c>
    </row>
    <row r="24" spans="1:27" x14ac:dyDescent="0.2">
      <c r="A24" s="75" t="s">
        <v>149</v>
      </c>
      <c r="B24" s="72">
        <f>B19*((1.025)^16)</f>
        <v>26.21536122567305</v>
      </c>
      <c r="C24" s="72">
        <f t="shared" si="9"/>
        <v>27.576107439480879</v>
      </c>
      <c r="D24" s="72">
        <f>B19*((1.025)^20)</f>
        <v>28.936853653288708</v>
      </c>
      <c r="E24" s="73">
        <f>E19*((1.025)^16)</f>
        <v>30.759354095520976</v>
      </c>
      <c r="F24" s="72">
        <f t="shared" si="10"/>
        <v>32.355962826727954</v>
      </c>
      <c r="G24" s="74">
        <f>E19*((1.025)^20)</f>
        <v>33.952571557934931</v>
      </c>
      <c r="H24" s="73">
        <f>H19*((1.025)^16)</f>
        <v>33.835289505073078</v>
      </c>
      <c r="I24" s="72">
        <f t="shared" si="11"/>
        <v>35.591559109400755</v>
      </c>
      <c r="J24" s="74">
        <f>H19*((1.025)^20)</f>
        <v>37.347828713728433</v>
      </c>
      <c r="K24" s="72">
        <f>K19*((1.025)^16)</f>
        <v>37.21881845558039</v>
      </c>
      <c r="L24" s="72">
        <f t="shared" si="12"/>
        <v>39.150715020340833</v>
      </c>
      <c r="M24" s="74">
        <f>K19*((1.025)^20)</f>
        <v>41.082611585101276</v>
      </c>
      <c r="N24" s="72" t="s">
        <v>316</v>
      </c>
      <c r="O24" s="72" t="s">
        <v>316</v>
      </c>
      <c r="P24" s="72" t="s">
        <v>316</v>
      </c>
      <c r="Q24" s="73" t="s">
        <v>316</v>
      </c>
      <c r="R24" s="72" t="s">
        <v>316</v>
      </c>
      <c r="S24" s="74" t="s">
        <v>316</v>
      </c>
      <c r="U24" s="1">
        <v>19</v>
      </c>
      <c r="V24" s="45">
        <f t="shared" si="0"/>
        <v>28.231076734915796</v>
      </c>
      <c r="W24" s="45">
        <f t="shared" si="1"/>
        <v>33.124460056521855</v>
      </c>
      <c r="X24" s="45">
        <f t="shared" si="2"/>
        <v>36.436906062174046</v>
      </c>
      <c r="Y24" s="45">
        <f t="shared" si="3"/>
        <v>40.080596668391465</v>
      </c>
      <c r="Z24" s="45" t="e">
        <f t="shared" si="14"/>
        <v>#VALUE!</v>
      </c>
      <c r="AA24" s="45" t="e">
        <f t="shared" si="14"/>
        <v>#VALUE!</v>
      </c>
    </row>
    <row r="25" spans="1:27" ht="15" x14ac:dyDescent="0.25">
      <c r="A25" s="43"/>
      <c r="B25" s="35"/>
      <c r="C25" s="45"/>
      <c r="D25" s="35"/>
      <c r="E25" s="80"/>
      <c r="F25" s="80"/>
      <c r="G25" s="80"/>
      <c r="H25" s="80"/>
      <c r="I25" s="72"/>
      <c r="J25" s="72"/>
      <c r="M25" s="39"/>
      <c r="P25" s="1"/>
      <c r="U25" s="1">
        <v>20</v>
      </c>
      <c r="V25" s="45">
        <f t="shared" si="0"/>
        <v>28.936853653288686</v>
      </c>
      <c r="W25" s="45">
        <f t="shared" si="1"/>
        <v>33.952571557934895</v>
      </c>
      <c r="X25" s="45">
        <f t="shared" si="2"/>
        <v>37.347828713728397</v>
      </c>
      <c r="Y25" s="45">
        <f t="shared" si="3"/>
        <v>41.082611585101247</v>
      </c>
      <c r="Z25" s="45" t="e">
        <f t="shared" si="14"/>
        <v>#VALUE!</v>
      </c>
      <c r="AA25" s="45" t="e">
        <f t="shared" si="14"/>
        <v>#VALUE!</v>
      </c>
    </row>
    <row r="26" spans="1:27" ht="15" x14ac:dyDescent="0.25">
      <c r="A26" s="43"/>
      <c r="B26" s="35"/>
      <c r="C26" s="45"/>
      <c r="D26" s="35"/>
      <c r="E26" s="80"/>
      <c r="F26" s="80"/>
      <c r="G26" s="80"/>
      <c r="H26" s="80"/>
      <c r="I26" s="72"/>
      <c r="J26" s="72"/>
      <c r="M26" s="39"/>
      <c r="P26" s="1"/>
      <c r="V26" s="45"/>
      <c r="W26" s="45"/>
      <c r="X26" s="45"/>
    </row>
    <row r="27" spans="1:27" ht="15" x14ac:dyDescent="0.25">
      <c r="A27" s="43"/>
      <c r="B27" s="35"/>
      <c r="C27" s="45"/>
      <c r="D27" s="35"/>
      <c r="E27" s="80"/>
      <c r="F27" s="80"/>
      <c r="G27" s="80"/>
      <c r="H27" s="80"/>
      <c r="I27" s="72"/>
      <c r="J27" s="72"/>
      <c r="M27" s="39"/>
      <c r="P27" s="1"/>
      <c r="U27" s="45"/>
    </row>
    <row r="28" spans="1:27" x14ac:dyDescent="0.2">
      <c r="O28" s="39"/>
      <c r="P28" s="1"/>
      <c r="V28" s="273" t="s">
        <v>279</v>
      </c>
      <c r="W28" s="273"/>
      <c r="X28" s="273"/>
      <c r="Y28" s="273"/>
      <c r="Z28" s="273"/>
      <c r="AA28" s="273"/>
    </row>
    <row r="29" spans="1:27" ht="16.5" thickBot="1" x14ac:dyDescent="0.3">
      <c r="A29" s="28" t="s">
        <v>318</v>
      </c>
      <c r="B29" s="28"/>
      <c r="C29" s="28"/>
      <c r="D29" s="28"/>
      <c r="E29" s="28"/>
      <c r="F29" s="28"/>
      <c r="G29" s="28"/>
      <c r="H29" s="28"/>
      <c r="I29" s="28"/>
      <c r="J29" s="28"/>
      <c r="K29" s="28"/>
      <c r="L29" s="28"/>
      <c r="M29" s="28"/>
      <c r="N29" s="28"/>
      <c r="O29" s="28"/>
      <c r="P29" s="28"/>
      <c r="Q29" s="28"/>
      <c r="R29" s="28"/>
      <c r="S29" s="28"/>
      <c r="U29" s="1" t="s">
        <v>130</v>
      </c>
      <c r="V29" s="43" t="s">
        <v>131</v>
      </c>
      <c r="W29" s="43" t="s">
        <v>48</v>
      </c>
      <c r="X29" s="43" t="s">
        <v>50</v>
      </c>
      <c r="Y29" s="43" t="s">
        <v>132</v>
      </c>
      <c r="Z29" s="43" t="s">
        <v>133</v>
      </c>
      <c r="AA29" s="43" t="s">
        <v>134</v>
      </c>
    </row>
    <row r="30" spans="1:27" ht="15.75" thickBot="1" x14ac:dyDescent="0.3">
      <c r="A30" s="274" t="s">
        <v>137</v>
      </c>
      <c r="B30" s="277" t="s">
        <v>33</v>
      </c>
      <c r="C30" s="278"/>
      <c r="D30" s="278"/>
      <c r="E30" s="278" t="s">
        <v>33</v>
      </c>
      <c r="F30" s="278"/>
      <c r="G30" s="278"/>
      <c r="H30" s="278" t="s">
        <v>34</v>
      </c>
      <c r="I30" s="278"/>
      <c r="J30" s="278"/>
      <c r="K30" s="278" t="s">
        <v>35</v>
      </c>
      <c r="L30" s="278"/>
      <c r="M30" s="278"/>
      <c r="N30" s="278" t="s">
        <v>35</v>
      </c>
      <c r="O30" s="278"/>
      <c r="P30" s="279"/>
      <c r="Q30" s="278" t="s">
        <v>35</v>
      </c>
      <c r="R30" s="278"/>
      <c r="S30" s="279"/>
      <c r="U30" s="1">
        <v>0</v>
      </c>
      <c r="V30" s="45">
        <f>H8</f>
        <v>16.053928147600445</v>
      </c>
      <c r="W30" s="45">
        <f>I8</f>
        <v>18.83660714285714</v>
      </c>
      <c r="X30" s="45">
        <f>K8</f>
        <v>20.720267857142854</v>
      </c>
      <c r="Y30" s="45">
        <f>M8</f>
        <v>22.79229464285714</v>
      </c>
      <c r="Z30" s="45" t="str">
        <f>N8</f>
        <v>-</v>
      </c>
      <c r="AA30" s="45" t="str">
        <f>O8</f>
        <v>-</v>
      </c>
    </row>
    <row r="31" spans="1:27" ht="15" x14ac:dyDescent="0.2">
      <c r="A31" s="275"/>
      <c r="B31" s="280" t="s">
        <v>151</v>
      </c>
      <c r="C31" s="281"/>
      <c r="D31" s="282"/>
      <c r="E31" s="283" t="s">
        <v>129</v>
      </c>
      <c r="F31" s="284"/>
      <c r="G31" s="284"/>
      <c r="H31" s="294" t="s">
        <v>43</v>
      </c>
      <c r="I31" s="295"/>
      <c r="J31" s="296"/>
      <c r="K31" s="283" t="s">
        <v>44</v>
      </c>
      <c r="L31" s="284"/>
      <c r="M31" s="285"/>
      <c r="N31" s="283" t="s">
        <v>45</v>
      </c>
      <c r="O31" s="284"/>
      <c r="P31" s="285"/>
      <c r="Q31" s="283" t="s">
        <v>152</v>
      </c>
      <c r="R31" s="284"/>
      <c r="S31" s="285"/>
      <c r="U31" s="1">
        <v>1</v>
      </c>
      <c r="V31" s="45">
        <f t="shared" ref="V31:V50" si="15">V30*1.025</f>
        <v>16.455276351290454</v>
      </c>
      <c r="W31" s="45">
        <f t="shared" ref="W31:W50" si="16">W30*1.025</f>
        <v>19.307522321428568</v>
      </c>
      <c r="X31" s="45">
        <f t="shared" ref="X31:X50" si="17">X30*1.025</f>
        <v>21.238274553571422</v>
      </c>
      <c r="Y31" s="45">
        <f t="shared" ref="Y31:Y50" si="18">Y30*1.025</f>
        <v>23.362102008928566</v>
      </c>
      <c r="Z31" s="45" t="e">
        <f t="shared" ref="Z31:AA31" si="19">Z30+0.15</f>
        <v>#VALUE!</v>
      </c>
      <c r="AA31" s="45" t="e">
        <f t="shared" si="19"/>
        <v>#VALUE!</v>
      </c>
    </row>
    <row r="32" spans="1:27" ht="15" thickBot="1" x14ac:dyDescent="0.25">
      <c r="A32" s="276"/>
      <c r="B32" s="64" t="s">
        <v>141</v>
      </c>
      <c r="C32" s="65" t="s">
        <v>142</v>
      </c>
      <c r="D32" s="69" t="s">
        <v>143</v>
      </c>
      <c r="E32" s="67" t="s">
        <v>141</v>
      </c>
      <c r="F32" s="67" t="s">
        <v>142</v>
      </c>
      <c r="G32" s="67" t="s">
        <v>143</v>
      </c>
      <c r="H32" s="64" t="s">
        <v>141</v>
      </c>
      <c r="I32" s="65" t="s">
        <v>142</v>
      </c>
      <c r="J32" s="69" t="s">
        <v>143</v>
      </c>
      <c r="K32" s="64" t="s">
        <v>141</v>
      </c>
      <c r="L32" s="65" t="s">
        <v>142</v>
      </c>
      <c r="M32" s="69" t="s">
        <v>143</v>
      </c>
      <c r="N32" s="64" t="s">
        <v>141</v>
      </c>
      <c r="O32" s="65" t="s">
        <v>142</v>
      </c>
      <c r="P32" s="69" t="s">
        <v>143</v>
      </c>
      <c r="Q32" s="64" t="s">
        <v>141</v>
      </c>
      <c r="R32" s="65" t="s">
        <v>142</v>
      </c>
      <c r="S32" s="69" t="s">
        <v>143</v>
      </c>
      <c r="U32" s="1">
        <v>2</v>
      </c>
      <c r="V32" s="45">
        <f t="shared" si="15"/>
        <v>16.866658260072715</v>
      </c>
      <c r="W32" s="45">
        <f t="shared" si="16"/>
        <v>19.790210379464281</v>
      </c>
      <c r="X32" s="45">
        <f t="shared" si="17"/>
        <v>21.769231417410705</v>
      </c>
      <c r="Y32" s="45">
        <f t="shared" si="18"/>
        <v>23.946154559151779</v>
      </c>
      <c r="Z32" s="45" t="e">
        <f t="shared" ref="Z32:AA38" si="20">Z31+0.15</f>
        <v>#VALUE!</v>
      </c>
      <c r="AA32" s="45" t="e">
        <f t="shared" si="20"/>
        <v>#VALUE!</v>
      </c>
    </row>
    <row r="33" spans="1:27" x14ac:dyDescent="0.2">
      <c r="A33" s="71" t="s">
        <v>144</v>
      </c>
      <c r="B33" s="72">
        <f>F8</f>
        <v>16.053928147600445</v>
      </c>
      <c r="C33" s="72">
        <f>MEDIAN(B33,D33)</f>
        <v>16.67112643208749</v>
      </c>
      <c r="D33" s="74">
        <f>B33*((1.025)^3)</f>
        <v>17.288324716574532</v>
      </c>
      <c r="E33" s="72">
        <f>I8</f>
        <v>18.83660714285714</v>
      </c>
      <c r="F33" s="72">
        <f>MEDIAN(E33,G33)</f>
        <v>19.560786390904013</v>
      </c>
      <c r="G33" s="72">
        <f>E33*((1.025)^3)</f>
        <v>20.284965638950887</v>
      </c>
      <c r="H33" s="73">
        <f>K8</f>
        <v>20.720267857142854</v>
      </c>
      <c r="I33" s="72">
        <f>MEDIAN(H33,J33)</f>
        <v>21.516865029994413</v>
      </c>
      <c r="J33" s="74">
        <f>H33*((1.025)^3)</f>
        <v>22.313462202845976</v>
      </c>
      <c r="K33" s="73">
        <f>M8</f>
        <v>22.79229464285714</v>
      </c>
      <c r="L33" s="72">
        <f>MEDIAN(K33,M33)</f>
        <v>23.66855153299386</v>
      </c>
      <c r="M33" s="74">
        <f>K33*((1.025)^3)</f>
        <v>24.544808423130576</v>
      </c>
      <c r="N33" s="73" t="s">
        <v>316</v>
      </c>
      <c r="O33" s="72" t="s">
        <v>316</v>
      </c>
      <c r="P33" s="74" t="s">
        <v>316</v>
      </c>
      <c r="Q33" s="73" t="s">
        <v>316</v>
      </c>
      <c r="R33" s="72" t="s">
        <v>316</v>
      </c>
      <c r="S33" s="74" t="s">
        <v>316</v>
      </c>
      <c r="U33" s="1">
        <v>3</v>
      </c>
      <c r="V33" s="45">
        <f t="shared" si="15"/>
        <v>17.288324716574532</v>
      </c>
      <c r="W33" s="45">
        <f t="shared" si="16"/>
        <v>20.284965638950887</v>
      </c>
      <c r="X33" s="45">
        <f t="shared" si="17"/>
        <v>22.313462202845969</v>
      </c>
      <c r="Y33" s="45">
        <f t="shared" si="18"/>
        <v>24.544808423130572</v>
      </c>
      <c r="Z33" s="45" t="e">
        <f t="shared" si="20"/>
        <v>#VALUE!</v>
      </c>
      <c r="AA33" s="45" t="e">
        <f t="shared" si="20"/>
        <v>#VALUE!</v>
      </c>
    </row>
    <row r="34" spans="1:27" x14ac:dyDescent="0.2">
      <c r="A34" s="75" t="s">
        <v>145</v>
      </c>
      <c r="B34" s="72">
        <f>B33*((1.025)^4)</f>
        <v>17.720532834488896</v>
      </c>
      <c r="C34" s="72">
        <f t="shared" ref="C34:C38" si="21">MEDIAN(B34,D34)</f>
        <v>18.169083821861896</v>
      </c>
      <c r="D34" s="74">
        <f>B33*((1.025)^6)</f>
        <v>18.617634809234893</v>
      </c>
      <c r="E34" s="72">
        <f>E33*((1.025)^4)</f>
        <v>20.792089779924659</v>
      </c>
      <c r="F34" s="72">
        <f t="shared" ref="F34:F38" si="22">MEDIAN(E34,G34)</f>
        <v>21.318389552478997</v>
      </c>
      <c r="G34" s="72">
        <f>E33*((1.025)^6)</f>
        <v>21.84468932503334</v>
      </c>
      <c r="H34" s="73">
        <f>H33*((1.025)^4)</f>
        <v>22.871298757917124</v>
      </c>
      <c r="I34" s="72">
        <f t="shared" ref="I34:I38" si="23">MEDIAN(H34,J34)</f>
        <v>23.450228507726898</v>
      </c>
      <c r="J34" s="74">
        <f>H33*((1.025)^6)</f>
        <v>24.029158257536675</v>
      </c>
      <c r="K34" s="73">
        <f>K33*((1.025)^4)</f>
        <v>25.158428633708837</v>
      </c>
      <c r="L34" s="72">
        <f t="shared" ref="L34:L38" si="24">MEDIAN(K34,M34)</f>
        <v>25.795251358499591</v>
      </c>
      <c r="M34" s="74">
        <f>K33*((1.025)^6)</f>
        <v>26.432074083290342</v>
      </c>
      <c r="N34" s="73" t="s">
        <v>316</v>
      </c>
      <c r="O34" s="72" t="s">
        <v>316</v>
      </c>
      <c r="P34" s="74" t="s">
        <v>316</v>
      </c>
      <c r="Q34" s="73" t="s">
        <v>316</v>
      </c>
      <c r="R34" s="72" t="s">
        <v>316</v>
      </c>
      <c r="S34" s="74" t="s">
        <v>316</v>
      </c>
      <c r="U34" s="1">
        <v>4</v>
      </c>
      <c r="V34" s="45">
        <f t="shared" si="15"/>
        <v>17.720532834488893</v>
      </c>
      <c r="W34" s="45">
        <f t="shared" si="16"/>
        <v>20.792089779924655</v>
      </c>
      <c r="X34" s="45">
        <f t="shared" si="17"/>
        <v>22.871298757917117</v>
      </c>
      <c r="Y34" s="45">
        <f t="shared" si="18"/>
        <v>25.158428633708834</v>
      </c>
      <c r="Z34" s="45" t="e">
        <f t="shared" si="20"/>
        <v>#VALUE!</v>
      </c>
      <c r="AA34" s="45" t="e">
        <f t="shared" si="20"/>
        <v>#VALUE!</v>
      </c>
    </row>
    <row r="35" spans="1:27" x14ac:dyDescent="0.2">
      <c r="A35" s="75" t="s">
        <v>146</v>
      </c>
      <c r="B35" s="72">
        <f>B33*((1.025)^7)</f>
        <v>19.083075679465765</v>
      </c>
      <c r="C35" s="72">
        <f t="shared" si="21"/>
        <v>19.566116032602238</v>
      </c>
      <c r="D35" s="74">
        <f>B33*((1.025)^9)</f>
        <v>20.049156385738716</v>
      </c>
      <c r="E35" s="72">
        <f>E33*((1.025)^7)</f>
        <v>22.390806558159174</v>
      </c>
      <c r="F35" s="72">
        <f t="shared" si="22"/>
        <v>22.957573849162575</v>
      </c>
      <c r="G35" s="72">
        <f>E33*((1.025)^9)</f>
        <v>23.524341140165976</v>
      </c>
      <c r="H35" s="73">
        <f>H33*((1.025)^7)</f>
        <v>24.629887213975092</v>
      </c>
      <c r="I35" s="72">
        <f t="shared" si="23"/>
        <v>25.253331234078836</v>
      </c>
      <c r="J35" s="74">
        <f>H33*((1.025)^9)</f>
        <v>25.876775254182576</v>
      </c>
      <c r="K35" s="73">
        <f>K33*((1.025)^7)</f>
        <v>27.0928759353726</v>
      </c>
      <c r="L35" s="72">
        <f t="shared" si="24"/>
        <v>27.778664357486718</v>
      </c>
      <c r="M35" s="74">
        <f>K33*((1.025)^9)</f>
        <v>28.464452779600833</v>
      </c>
      <c r="N35" s="73" t="s">
        <v>316</v>
      </c>
      <c r="O35" s="72" t="s">
        <v>316</v>
      </c>
      <c r="P35" s="74" t="s">
        <v>316</v>
      </c>
      <c r="Q35" s="73" t="s">
        <v>316</v>
      </c>
      <c r="R35" s="72" t="s">
        <v>316</v>
      </c>
      <c r="S35" s="74" t="s">
        <v>316</v>
      </c>
      <c r="U35" s="1">
        <v>5</v>
      </c>
      <c r="V35" s="45">
        <f t="shared" si="15"/>
        <v>18.163546155351113</v>
      </c>
      <c r="W35" s="45">
        <f t="shared" si="16"/>
        <v>21.311892024422772</v>
      </c>
      <c r="X35" s="45">
        <f t="shared" si="17"/>
        <v>23.443081226865043</v>
      </c>
      <c r="Y35" s="45">
        <f t="shared" si="18"/>
        <v>25.787389349551553</v>
      </c>
      <c r="Z35" s="45" t="e">
        <f t="shared" si="20"/>
        <v>#VALUE!</v>
      </c>
      <c r="AA35" s="45" t="e">
        <f t="shared" si="20"/>
        <v>#VALUE!</v>
      </c>
    </row>
    <row r="36" spans="1:27" x14ac:dyDescent="0.2">
      <c r="A36" s="75" t="s">
        <v>147</v>
      </c>
      <c r="B36" s="72">
        <f>B33*((1.025)^10)</f>
        <v>20.550385295382181</v>
      </c>
      <c r="C36" s="72">
        <f t="shared" si="21"/>
        <v>21.07056692317154</v>
      </c>
      <c r="D36" s="74">
        <f>B33*((1.025)^12)</f>
        <v>21.590748550960903</v>
      </c>
      <c r="E36" s="72">
        <f>E33*((1.025)^10)</f>
        <v>24.112449668670127</v>
      </c>
      <c r="F36" s="72">
        <f t="shared" si="22"/>
        <v>24.722796050908336</v>
      </c>
      <c r="G36" s="72">
        <f>E33*((1.025)^12)</f>
        <v>25.333142433146548</v>
      </c>
      <c r="H36" s="73">
        <f>H33*((1.025)^10)</f>
        <v>26.52369463553714</v>
      </c>
      <c r="I36" s="72">
        <f t="shared" si="23"/>
        <v>27.195075655999172</v>
      </c>
      <c r="J36" s="74">
        <f>H33*((1.025)^12)</f>
        <v>27.866456676461205</v>
      </c>
      <c r="K36" s="73">
        <f>K33*((1.025)^10)</f>
        <v>29.176064099090855</v>
      </c>
      <c r="L36" s="72">
        <f t="shared" si="24"/>
        <v>29.914583221599088</v>
      </c>
      <c r="M36" s="74">
        <f>K33*((1.025)^12)</f>
        <v>30.653102344107324</v>
      </c>
      <c r="N36" s="73" t="s">
        <v>316</v>
      </c>
      <c r="O36" s="72" t="s">
        <v>316</v>
      </c>
      <c r="P36" s="74" t="s">
        <v>316</v>
      </c>
      <c r="Q36" s="73" t="s">
        <v>316</v>
      </c>
      <c r="R36" s="72" t="s">
        <v>316</v>
      </c>
      <c r="S36" s="74" t="s">
        <v>316</v>
      </c>
      <c r="T36" s="45"/>
      <c r="U36" s="1">
        <v>6</v>
      </c>
      <c r="V36" s="45">
        <f t="shared" si="15"/>
        <v>18.61763480923489</v>
      </c>
      <c r="W36" s="45">
        <f t="shared" si="16"/>
        <v>21.84468932503334</v>
      </c>
      <c r="X36" s="45">
        <f t="shared" si="17"/>
        <v>24.029158257536668</v>
      </c>
      <c r="Y36" s="45">
        <f t="shared" si="18"/>
        <v>26.432074083290338</v>
      </c>
      <c r="Z36" s="45" t="e">
        <f t="shared" si="20"/>
        <v>#VALUE!</v>
      </c>
      <c r="AA36" s="45" t="e">
        <f t="shared" si="20"/>
        <v>#VALUE!</v>
      </c>
    </row>
    <row r="37" spans="1:27" x14ac:dyDescent="0.2">
      <c r="A37" s="75" t="s">
        <v>148</v>
      </c>
      <c r="B37" s="72">
        <f>B33*((1.025)^13)</f>
        <v>22.130517264734927</v>
      </c>
      <c r="C37" s="72">
        <f t="shared" si="21"/>
        <v>22.690695982998527</v>
      </c>
      <c r="D37" s="72">
        <f>B33*((1.025)^15)</f>
        <v>23.250874701262131</v>
      </c>
      <c r="E37" s="73">
        <f>E33*((1.025)^13)</f>
        <v>25.966470993975211</v>
      </c>
      <c r="F37" s="72">
        <f t="shared" si="22"/>
        <v>26.623747291010211</v>
      </c>
      <c r="G37" s="74">
        <f>E33*((1.025)^15)</f>
        <v>27.281023588045208</v>
      </c>
      <c r="H37" s="72">
        <f>H33*((1.025)^13)</f>
        <v>28.563118093372733</v>
      </c>
      <c r="I37" s="72">
        <f t="shared" si="23"/>
        <v>29.286122020111229</v>
      </c>
      <c r="J37" s="74">
        <f>H33*((1.025)^15)</f>
        <v>30.009125946849728</v>
      </c>
      <c r="K37" s="73">
        <f>K33*((1.025)^13)</f>
        <v>31.419429902710007</v>
      </c>
      <c r="L37" s="72">
        <f t="shared" si="24"/>
        <v>32.21473422212236</v>
      </c>
      <c r="M37" s="74">
        <f>K33*((1.025)^15)</f>
        <v>33.010038541534705</v>
      </c>
      <c r="N37" s="73" t="s">
        <v>316</v>
      </c>
      <c r="O37" s="72" t="s">
        <v>316</v>
      </c>
      <c r="P37" s="74" t="s">
        <v>316</v>
      </c>
      <c r="Q37" s="73" t="s">
        <v>316</v>
      </c>
      <c r="R37" s="72" t="s">
        <v>316</v>
      </c>
      <c r="S37" s="74" t="s">
        <v>316</v>
      </c>
      <c r="U37" s="1">
        <v>7</v>
      </c>
      <c r="V37" s="45">
        <f t="shared" si="15"/>
        <v>19.083075679465761</v>
      </c>
      <c r="W37" s="45">
        <f t="shared" si="16"/>
        <v>22.39080655815917</v>
      </c>
      <c r="X37" s="45">
        <f t="shared" si="17"/>
        <v>24.629887213975081</v>
      </c>
      <c r="Y37" s="45">
        <f t="shared" si="18"/>
        <v>27.092875935372593</v>
      </c>
      <c r="Z37" s="45" t="e">
        <f t="shared" si="20"/>
        <v>#VALUE!</v>
      </c>
      <c r="AA37" s="45" t="e">
        <f t="shared" si="20"/>
        <v>#VALUE!</v>
      </c>
    </row>
    <row r="38" spans="1:27" x14ac:dyDescent="0.2">
      <c r="A38" s="75" t="s">
        <v>149</v>
      </c>
      <c r="B38" s="72">
        <f>B33*((1.025)^16)</f>
        <v>23.832146568793682</v>
      </c>
      <c r="C38" s="72">
        <f t="shared" si="21"/>
        <v>25.069188581346253</v>
      </c>
      <c r="D38" s="72">
        <f>B33*((1.025)^20)</f>
        <v>26.306230593898825</v>
      </c>
      <c r="E38" s="73">
        <f>E33*((1.025)^16)</f>
        <v>27.963049177746335</v>
      </c>
      <c r="F38" s="72">
        <f t="shared" si="22"/>
        <v>29.41451166066177</v>
      </c>
      <c r="G38" s="74">
        <f>E33*((1.025)^20)</f>
        <v>30.865974143577205</v>
      </c>
      <c r="H38" s="73">
        <f>H33*((1.025)^16)</f>
        <v>30.759354095520969</v>
      </c>
      <c r="I38" s="72">
        <f t="shared" si="23"/>
        <v>32.355962826727946</v>
      </c>
      <c r="J38" s="74">
        <f>H33*((1.025)^20)</f>
        <v>33.952571557934924</v>
      </c>
      <c r="K38" s="72">
        <f>K33*((1.025)^16)</f>
        <v>33.835289505073064</v>
      </c>
      <c r="L38" s="72">
        <f t="shared" si="24"/>
        <v>35.591559109400741</v>
      </c>
      <c r="M38" s="74">
        <f>K33*((1.025)^20)</f>
        <v>37.347828713728418</v>
      </c>
      <c r="N38" s="72" t="s">
        <v>316</v>
      </c>
      <c r="O38" s="72" t="s">
        <v>316</v>
      </c>
      <c r="P38" s="72" t="s">
        <v>316</v>
      </c>
      <c r="Q38" s="73" t="s">
        <v>316</v>
      </c>
      <c r="R38" s="72" t="s">
        <v>316</v>
      </c>
      <c r="S38" s="74" t="s">
        <v>316</v>
      </c>
      <c r="U38" s="1">
        <v>8</v>
      </c>
      <c r="V38" s="45">
        <f t="shared" si="15"/>
        <v>19.560152571452402</v>
      </c>
      <c r="W38" s="45">
        <f t="shared" si="16"/>
        <v>22.950576722113148</v>
      </c>
      <c r="X38" s="45">
        <f t="shared" si="17"/>
        <v>25.245634394324455</v>
      </c>
      <c r="Y38" s="45">
        <f t="shared" si="18"/>
        <v>27.770197833756907</v>
      </c>
      <c r="Z38" s="45" t="e">
        <f t="shared" si="20"/>
        <v>#VALUE!</v>
      </c>
      <c r="AA38" s="45" t="e">
        <f t="shared" si="20"/>
        <v>#VALUE!</v>
      </c>
    </row>
    <row r="39" spans="1:27" ht="15" x14ac:dyDescent="0.25">
      <c r="A39" s="43"/>
      <c r="B39" s="35"/>
      <c r="C39" s="45"/>
      <c r="D39" s="35"/>
      <c r="E39" s="80"/>
      <c r="F39" s="80"/>
      <c r="G39" s="80"/>
      <c r="H39" s="80"/>
      <c r="I39" s="72"/>
      <c r="J39" s="72"/>
      <c r="M39" s="39"/>
      <c r="P39" s="1"/>
      <c r="U39" s="1">
        <v>9</v>
      </c>
      <c r="V39" s="45">
        <f t="shared" si="15"/>
        <v>20.049156385738712</v>
      </c>
      <c r="W39" s="45">
        <f t="shared" si="16"/>
        <v>23.524341140165973</v>
      </c>
      <c r="X39" s="45">
        <f t="shared" si="17"/>
        <v>25.876775254182565</v>
      </c>
      <c r="Y39" s="45">
        <f t="shared" si="18"/>
        <v>28.464452779600826</v>
      </c>
      <c r="Z39" s="45" t="e">
        <f t="shared" ref="Z39:AA39" si="25">Z38+0.15</f>
        <v>#VALUE!</v>
      </c>
      <c r="AA39" s="45" t="e">
        <f t="shared" si="25"/>
        <v>#VALUE!</v>
      </c>
    </row>
    <row r="40" spans="1:27" x14ac:dyDescent="0.2">
      <c r="O40" s="39"/>
      <c r="P40" s="1"/>
      <c r="U40" s="1">
        <v>10</v>
      </c>
      <c r="V40" s="45">
        <f t="shared" si="15"/>
        <v>20.550385295382178</v>
      </c>
      <c r="W40" s="45">
        <f t="shared" si="16"/>
        <v>24.11244966867012</v>
      </c>
      <c r="X40" s="45">
        <f t="shared" si="17"/>
        <v>26.523694635537126</v>
      </c>
      <c r="Y40" s="45">
        <f t="shared" si="18"/>
        <v>29.176064099090844</v>
      </c>
      <c r="Z40" s="45" t="e">
        <f t="shared" ref="Z40:AA50" si="26">Z39+0.15</f>
        <v>#VALUE!</v>
      </c>
      <c r="AA40" s="45" t="e">
        <f t="shared" si="26"/>
        <v>#VALUE!</v>
      </c>
    </row>
    <row r="41" spans="1:27" x14ac:dyDescent="0.2">
      <c r="U41" s="1">
        <v>11</v>
      </c>
      <c r="V41" s="45">
        <f t="shared" si="15"/>
        <v>21.06414492776673</v>
      </c>
      <c r="W41" s="45">
        <f t="shared" si="16"/>
        <v>24.715260910386871</v>
      </c>
      <c r="X41" s="45">
        <f t="shared" si="17"/>
        <v>27.18678700142555</v>
      </c>
      <c r="Y41" s="45">
        <f t="shared" si="18"/>
        <v>29.905465701568112</v>
      </c>
      <c r="Z41" s="45" t="e">
        <f t="shared" si="26"/>
        <v>#VALUE!</v>
      </c>
      <c r="AA41" s="45" t="e">
        <f t="shared" si="26"/>
        <v>#VALUE!</v>
      </c>
    </row>
    <row r="42" spans="1:27" x14ac:dyDescent="0.2">
      <c r="U42" s="1">
        <v>12</v>
      </c>
      <c r="V42" s="45">
        <f t="shared" si="15"/>
        <v>21.590748550960896</v>
      </c>
      <c r="W42" s="45">
        <f t="shared" si="16"/>
        <v>25.333142433146541</v>
      </c>
      <c r="X42" s="45">
        <f t="shared" si="17"/>
        <v>27.866456676461187</v>
      </c>
      <c r="Y42" s="45">
        <f t="shared" si="18"/>
        <v>30.65310234410731</v>
      </c>
      <c r="Z42" s="45" t="e">
        <f t="shared" si="26"/>
        <v>#VALUE!</v>
      </c>
      <c r="AA42" s="45" t="e">
        <f t="shared" si="26"/>
        <v>#VALUE!</v>
      </c>
    </row>
    <row r="43" spans="1:27" x14ac:dyDescent="0.2">
      <c r="D43" s="82"/>
      <c r="U43" s="1">
        <v>13</v>
      </c>
      <c r="V43" s="45">
        <f t="shared" si="15"/>
        <v>22.130517264734916</v>
      </c>
      <c r="W43" s="45">
        <f t="shared" si="16"/>
        <v>25.966470993975204</v>
      </c>
      <c r="X43" s="45">
        <f t="shared" si="17"/>
        <v>28.563118093372715</v>
      </c>
      <c r="Y43" s="45">
        <f t="shared" si="18"/>
        <v>31.419429902709989</v>
      </c>
      <c r="Z43" s="45" t="e">
        <f t="shared" si="26"/>
        <v>#VALUE!</v>
      </c>
      <c r="AA43" s="45" t="e">
        <f t="shared" si="26"/>
        <v>#VALUE!</v>
      </c>
    </row>
    <row r="44" spans="1:27" x14ac:dyDescent="0.2">
      <c r="D44" s="82"/>
      <c r="G44" s="34"/>
      <c r="U44" s="1">
        <v>14</v>
      </c>
      <c r="V44" s="45">
        <f t="shared" si="15"/>
        <v>22.683780196353286</v>
      </c>
      <c r="W44" s="45">
        <f t="shared" si="16"/>
        <v>26.615632768824582</v>
      </c>
      <c r="X44" s="45">
        <f t="shared" si="17"/>
        <v>29.277196045707029</v>
      </c>
      <c r="Y44" s="45">
        <f t="shared" si="18"/>
        <v>32.204915650277734</v>
      </c>
      <c r="Z44" s="45" t="e">
        <f t="shared" si="26"/>
        <v>#VALUE!</v>
      </c>
      <c r="AA44" s="45" t="e">
        <f t="shared" si="26"/>
        <v>#VALUE!</v>
      </c>
    </row>
    <row r="45" spans="1:27" x14ac:dyDescent="0.2">
      <c r="D45" s="82"/>
      <c r="U45" s="1">
        <v>15</v>
      </c>
      <c r="V45" s="45">
        <f t="shared" si="15"/>
        <v>23.250874701262116</v>
      </c>
      <c r="W45" s="45">
        <f t="shared" si="16"/>
        <v>27.281023588045194</v>
      </c>
      <c r="X45" s="45">
        <f t="shared" si="17"/>
        <v>30.009125946849704</v>
      </c>
      <c r="Y45" s="45">
        <f t="shared" si="18"/>
        <v>33.010038541534676</v>
      </c>
      <c r="Z45" s="45" t="e">
        <f t="shared" si="26"/>
        <v>#VALUE!</v>
      </c>
      <c r="AA45" s="45" t="e">
        <f t="shared" si="26"/>
        <v>#VALUE!</v>
      </c>
    </row>
    <row r="46" spans="1:27" x14ac:dyDescent="0.2">
      <c r="U46" s="1">
        <v>16</v>
      </c>
      <c r="V46" s="45">
        <f t="shared" si="15"/>
        <v>23.832146568793668</v>
      </c>
      <c r="W46" s="45">
        <f t="shared" si="16"/>
        <v>27.963049177746321</v>
      </c>
      <c r="X46" s="45">
        <f t="shared" si="17"/>
        <v>30.759354095520944</v>
      </c>
      <c r="Y46" s="45">
        <f t="shared" si="18"/>
        <v>33.835289505073042</v>
      </c>
      <c r="Z46" s="45" t="e">
        <f t="shared" si="26"/>
        <v>#VALUE!</v>
      </c>
      <c r="AA46" s="45" t="e">
        <f t="shared" si="26"/>
        <v>#VALUE!</v>
      </c>
    </row>
    <row r="47" spans="1:27" x14ac:dyDescent="0.2">
      <c r="U47" s="1">
        <v>17</v>
      </c>
      <c r="V47" s="45">
        <f t="shared" si="15"/>
        <v>24.427950233013508</v>
      </c>
      <c r="W47" s="45">
        <f t="shared" si="16"/>
        <v>28.662125407189976</v>
      </c>
      <c r="X47" s="45">
        <f t="shared" si="17"/>
        <v>31.528337947908966</v>
      </c>
      <c r="Y47" s="45">
        <f t="shared" si="18"/>
        <v>34.681171742699867</v>
      </c>
      <c r="Z47" s="45" t="e">
        <f t="shared" si="26"/>
        <v>#VALUE!</v>
      </c>
      <c r="AA47" s="45" t="e">
        <f t="shared" si="26"/>
        <v>#VALUE!</v>
      </c>
    </row>
    <row r="48" spans="1:27" x14ac:dyDescent="0.2">
      <c r="U48" s="1">
        <v>18</v>
      </c>
      <c r="V48" s="45">
        <f t="shared" si="15"/>
        <v>25.038648988838844</v>
      </c>
      <c r="W48" s="45">
        <f t="shared" si="16"/>
        <v>29.378678542369723</v>
      </c>
      <c r="X48" s="45">
        <f t="shared" si="17"/>
        <v>32.316546396606689</v>
      </c>
      <c r="Y48" s="45">
        <f t="shared" si="18"/>
        <v>35.548201036267358</v>
      </c>
      <c r="Z48" s="45" t="e">
        <f t="shared" si="26"/>
        <v>#VALUE!</v>
      </c>
      <c r="AA48" s="45" t="e">
        <f t="shared" si="26"/>
        <v>#VALUE!</v>
      </c>
    </row>
    <row r="49" spans="21:27" x14ac:dyDescent="0.2">
      <c r="U49" s="1">
        <v>19</v>
      </c>
      <c r="V49" s="45">
        <f t="shared" si="15"/>
        <v>25.664615213559813</v>
      </c>
      <c r="W49" s="45">
        <f t="shared" si="16"/>
        <v>30.113145505928962</v>
      </c>
      <c r="X49" s="45">
        <f t="shared" si="17"/>
        <v>33.124460056521855</v>
      </c>
      <c r="Y49" s="45">
        <f t="shared" si="18"/>
        <v>36.436906062174039</v>
      </c>
      <c r="Z49" s="45" t="e">
        <f t="shared" si="26"/>
        <v>#VALUE!</v>
      </c>
      <c r="AA49" s="45" t="e">
        <f t="shared" si="26"/>
        <v>#VALUE!</v>
      </c>
    </row>
    <row r="50" spans="21:27" x14ac:dyDescent="0.2">
      <c r="U50" s="1">
        <v>20</v>
      </c>
      <c r="V50" s="45">
        <f t="shared" si="15"/>
        <v>26.306230593898807</v>
      </c>
      <c r="W50" s="45">
        <f t="shared" si="16"/>
        <v>30.865974143577183</v>
      </c>
      <c r="X50" s="45">
        <f t="shared" si="17"/>
        <v>33.952571557934895</v>
      </c>
      <c r="Y50" s="45">
        <f t="shared" si="18"/>
        <v>37.34782871372839</v>
      </c>
      <c r="Z50" s="45" t="e">
        <f t="shared" si="26"/>
        <v>#VALUE!</v>
      </c>
      <c r="AA50" s="45"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I34" sqref="I3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319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x14ac:dyDescent="0.25">
      <c r="A2" t="s">
        <v>382</v>
      </c>
    </row>
    <row r="3" spans="1:26" x14ac:dyDescent="0.25">
      <c r="A3" s="12">
        <v>55</v>
      </c>
    </row>
    <row r="4" spans="1:26" ht="20.25" x14ac:dyDescent="0.3">
      <c r="A4" s="170"/>
      <c r="B4" s="170"/>
      <c r="C4" s="170"/>
      <c r="D4" s="170"/>
      <c r="E4" s="170"/>
      <c r="F4" s="170"/>
      <c r="G4" s="170"/>
      <c r="H4" s="170"/>
      <c r="I4" s="170"/>
      <c r="J4" s="170"/>
      <c r="K4" s="170"/>
      <c r="L4" s="170"/>
      <c r="M4" s="170"/>
      <c r="N4" s="170"/>
      <c r="O4" s="170"/>
    </row>
    <row r="5" spans="1:26" ht="15.75" x14ac:dyDescent="0.25">
      <c r="A5" s="314" t="s">
        <v>154</v>
      </c>
      <c r="B5" s="314"/>
      <c r="C5" s="314"/>
      <c r="E5" s="314" t="s">
        <v>155</v>
      </c>
      <c r="F5" s="314"/>
      <c r="G5" s="314"/>
      <c r="I5" s="314" t="s">
        <v>156</v>
      </c>
      <c r="J5" s="314"/>
      <c r="K5" s="314"/>
      <c r="M5" s="33" t="s">
        <v>157</v>
      </c>
      <c r="N5" s="33"/>
      <c r="O5" s="33"/>
    </row>
    <row r="6" spans="1:26" x14ac:dyDescent="0.25">
      <c r="A6" s="16" t="s">
        <v>158</v>
      </c>
      <c r="B6" s="16" t="s">
        <v>159</v>
      </c>
      <c r="C6" s="16" t="s">
        <v>160</v>
      </c>
      <c r="E6" s="16" t="s">
        <v>158</v>
      </c>
      <c r="F6" s="16" t="s">
        <v>159</v>
      </c>
      <c r="G6" s="16" t="s">
        <v>160</v>
      </c>
      <c r="I6" s="25" t="s">
        <v>161</v>
      </c>
      <c r="J6" s="16" t="s">
        <v>159</v>
      </c>
      <c r="K6" s="16" t="s">
        <v>160</v>
      </c>
      <c r="M6" s="25" t="s">
        <v>162</v>
      </c>
      <c r="N6" s="16" t="s">
        <v>159</v>
      </c>
      <c r="O6" s="16" t="s">
        <v>160</v>
      </c>
    </row>
    <row r="7" spans="1:26" x14ac:dyDescent="0.25">
      <c r="A7" s="17" t="s">
        <v>163</v>
      </c>
      <c r="B7" s="18">
        <v>1</v>
      </c>
      <c r="C7" s="19">
        <f>B7/A3</f>
        <v>1.8181818181818181E-2</v>
      </c>
      <c r="E7" s="23" t="s">
        <v>164</v>
      </c>
      <c r="F7" s="18"/>
      <c r="G7" s="19">
        <v>0.02</v>
      </c>
      <c r="I7" s="23" t="s">
        <v>165</v>
      </c>
      <c r="J7" s="18">
        <v>46</v>
      </c>
      <c r="K7" s="19">
        <f>J7/A3</f>
        <v>0.83636363636363631</v>
      </c>
      <c r="M7" s="23" t="s">
        <v>166</v>
      </c>
      <c r="N7" s="18">
        <v>16</v>
      </c>
      <c r="O7" s="19">
        <f>N7/A3</f>
        <v>0.29090909090909089</v>
      </c>
    </row>
    <row r="8" spans="1:26" x14ac:dyDescent="0.25">
      <c r="A8" s="20" t="s">
        <v>167</v>
      </c>
      <c r="B8" s="21">
        <v>6</v>
      </c>
      <c r="C8" s="22">
        <f>B8/A3</f>
        <v>0.10909090909090909</v>
      </c>
      <c r="E8" s="24" t="s">
        <v>168</v>
      </c>
      <c r="F8" s="21"/>
      <c r="G8" s="19">
        <v>0.109</v>
      </c>
      <c r="I8" s="24" t="s">
        <v>169</v>
      </c>
      <c r="J8" s="21">
        <v>5</v>
      </c>
      <c r="K8" s="19">
        <f>J8/A3</f>
        <v>9.0909090909090912E-2</v>
      </c>
      <c r="M8" s="24" t="s">
        <v>170</v>
      </c>
      <c r="N8" s="21">
        <v>39</v>
      </c>
      <c r="O8" s="22">
        <f>N8/A3</f>
        <v>0.70909090909090911</v>
      </c>
    </row>
    <row r="9" spans="1:26" x14ac:dyDescent="0.25">
      <c r="A9" s="20" t="s">
        <v>171</v>
      </c>
      <c r="B9" s="21">
        <v>10</v>
      </c>
      <c r="C9" s="22">
        <f>B9/A3</f>
        <v>0.18181818181818182</v>
      </c>
      <c r="E9" s="24" t="s">
        <v>172</v>
      </c>
      <c r="F9" s="21"/>
      <c r="G9" s="19">
        <v>0.17699999999999999</v>
      </c>
      <c r="I9" s="24" t="s">
        <v>173</v>
      </c>
      <c r="J9" s="21">
        <v>2</v>
      </c>
      <c r="K9" s="19">
        <f>J9/A3</f>
        <v>3.6363636363636362E-2</v>
      </c>
    </row>
    <row r="10" spans="1:26" x14ac:dyDescent="0.25">
      <c r="A10" s="20" t="s">
        <v>174</v>
      </c>
      <c r="B10" s="21">
        <v>12</v>
      </c>
      <c r="C10" s="22">
        <f>B10/A3</f>
        <v>0.21818181818181817</v>
      </c>
      <c r="E10" s="24" t="s">
        <v>175</v>
      </c>
      <c r="F10" s="21"/>
      <c r="G10" s="19">
        <v>8.5999999999999993E-2</v>
      </c>
      <c r="I10" s="24" t="s">
        <v>176</v>
      </c>
      <c r="J10" s="21">
        <v>2</v>
      </c>
      <c r="K10" s="19">
        <f>J10/A3</f>
        <v>3.6363636363636362E-2</v>
      </c>
    </row>
    <row r="11" spans="1:26" x14ac:dyDescent="0.25">
      <c r="A11" s="20" t="s">
        <v>177</v>
      </c>
      <c r="B11" s="21">
        <v>12</v>
      </c>
      <c r="C11" s="22">
        <f>B11/A3</f>
        <v>0.21818181818181817</v>
      </c>
      <c r="E11" s="24" t="s">
        <v>178</v>
      </c>
      <c r="F11" s="21"/>
      <c r="G11" s="19">
        <v>0.36</v>
      </c>
      <c r="I11" s="24" t="s">
        <v>179</v>
      </c>
      <c r="J11" s="21">
        <v>1</v>
      </c>
      <c r="K11" s="19">
        <f>J11/A3</f>
        <v>1.8181818181818181E-2</v>
      </c>
    </row>
    <row r="12" spans="1:26" x14ac:dyDescent="0.25">
      <c r="A12" s="20" t="s">
        <v>180</v>
      </c>
      <c r="B12" s="21">
        <v>9</v>
      </c>
      <c r="C12" s="22">
        <f>B12/A3</f>
        <v>0.16363636363636364</v>
      </c>
      <c r="E12" s="24" t="s">
        <v>181</v>
      </c>
      <c r="F12" s="21"/>
      <c r="G12" s="19">
        <v>0.20200000000000001</v>
      </c>
      <c r="I12" s="24" t="s">
        <v>182</v>
      </c>
      <c r="J12" s="21">
        <v>0</v>
      </c>
      <c r="K12" s="19">
        <f>J12/A3</f>
        <v>0</v>
      </c>
    </row>
    <row r="13" spans="1:26" x14ac:dyDescent="0.25">
      <c r="A13" s="20" t="s">
        <v>183</v>
      </c>
      <c r="B13" s="21">
        <v>5</v>
      </c>
      <c r="C13" s="22">
        <f>B13/A3</f>
        <v>9.0909090909090912E-2</v>
      </c>
      <c r="E13" s="24" t="s">
        <v>184</v>
      </c>
      <c r="F13" s="21"/>
      <c r="G13" s="19">
        <v>4.5999999999999999E-2</v>
      </c>
      <c r="I13" s="24" t="s">
        <v>185</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topLeftCell="A10" zoomScaleNormal="100" workbookViewId="0">
      <selection activeCell="A42" sqref="A42"/>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7109375" bestFit="1" customWidth="1"/>
    <col min="16" max="16" width="9.140625" style="10" bestFit="1" customWidth="1"/>
    <col min="17" max="18" width="7.7109375" bestFit="1" customWidth="1"/>
    <col min="19" max="19" width="9.140625" bestFit="1" customWidth="1"/>
    <col min="20" max="20" width="8.7109375" bestFit="1" customWidth="1"/>
    <col min="23" max="23" width="8.710937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320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321</v>
      </c>
      <c r="B4" s="318"/>
      <c r="C4" s="318"/>
      <c r="D4" s="318"/>
      <c r="E4" s="318"/>
      <c r="F4" s="318"/>
      <c r="G4" s="318"/>
      <c r="H4" s="318"/>
    </row>
    <row r="5" spans="1:26" ht="36" customHeight="1" x14ac:dyDescent="0.25">
      <c r="A5" s="316" t="s">
        <v>188</v>
      </c>
      <c r="B5" s="317" t="s">
        <v>189</v>
      </c>
      <c r="C5" s="317" t="s">
        <v>190</v>
      </c>
      <c r="D5" s="317" t="s">
        <v>322</v>
      </c>
      <c r="E5" s="317" t="s">
        <v>192</v>
      </c>
      <c r="F5" s="317"/>
      <c r="G5" s="317" t="s">
        <v>193</v>
      </c>
      <c r="H5" s="317"/>
      <c r="P5"/>
      <c r="R5" s="10"/>
    </row>
    <row r="6" spans="1:26" ht="15.75" thickBot="1" x14ac:dyDescent="0.3">
      <c r="A6" s="316"/>
      <c r="B6" s="317"/>
      <c r="C6" s="317"/>
      <c r="D6" s="319"/>
      <c r="E6" s="162" t="s">
        <v>194</v>
      </c>
      <c r="F6" s="162" t="s">
        <v>195</v>
      </c>
      <c r="G6" s="162" t="s">
        <v>194</v>
      </c>
      <c r="H6" s="162" t="s">
        <v>195</v>
      </c>
      <c r="P6"/>
      <c r="R6" s="10"/>
    </row>
    <row r="7" spans="1:26" ht="15.75" thickBot="1" x14ac:dyDescent="0.3">
      <c r="A7" s="194" t="s">
        <v>323</v>
      </c>
      <c r="B7" s="195">
        <v>1</v>
      </c>
      <c r="C7" s="196">
        <f>'1A'!B14</f>
        <v>14.39</v>
      </c>
      <c r="D7" s="197" t="s">
        <v>59</v>
      </c>
      <c r="E7" s="198">
        <f t="shared" ref="E7:E12" si="0">W19-B19</f>
        <v>-321</v>
      </c>
      <c r="F7" s="199">
        <f t="shared" ref="F7:F12" si="1">W29</f>
        <v>-0.85372340425531912</v>
      </c>
      <c r="G7" s="200">
        <f t="shared" ref="G7:G12" si="2">S38-B38</f>
        <v>-0.16000000000000014</v>
      </c>
      <c r="H7" s="201">
        <f t="shared" ref="H7" si="3">S48</f>
        <v>-1.0996563573883171E-2</v>
      </c>
      <c r="P7"/>
      <c r="R7" s="10"/>
    </row>
    <row r="8" spans="1:26" ht="15.75" thickTop="1" x14ac:dyDescent="0.25">
      <c r="A8" s="177" t="s">
        <v>197</v>
      </c>
      <c r="B8" s="163">
        <v>0.96</v>
      </c>
      <c r="C8" s="184">
        <f>S39</f>
        <v>26.1</v>
      </c>
      <c r="D8" s="186">
        <f>C8-C7</f>
        <v>11.71</v>
      </c>
      <c r="E8" s="173">
        <f t="shared" si="0"/>
        <v>-66</v>
      </c>
      <c r="F8" s="172">
        <f t="shared" si="1"/>
        <v>-1</v>
      </c>
      <c r="G8" s="174">
        <f t="shared" si="2"/>
        <v>2.7100000000000009</v>
      </c>
      <c r="H8" s="176">
        <f>S49</f>
        <v>0.11586147926464305</v>
      </c>
      <c r="P8"/>
      <c r="R8" s="10"/>
    </row>
    <row r="9" spans="1:26" x14ac:dyDescent="0.25">
      <c r="A9" s="177" t="s">
        <v>198</v>
      </c>
      <c r="B9" s="163">
        <v>0.96</v>
      </c>
      <c r="C9" s="184">
        <f t="shared" ref="C9:C12" si="4">S40</f>
        <v>20.16</v>
      </c>
      <c r="D9" s="186">
        <f>C9-C7</f>
        <v>5.77</v>
      </c>
      <c r="E9" s="173">
        <f t="shared" si="0"/>
        <v>40</v>
      </c>
      <c r="F9" s="172">
        <f t="shared" si="1"/>
        <v>0.63492063492063489</v>
      </c>
      <c r="G9" s="174">
        <f t="shared" si="2"/>
        <v>4.2300000000000004</v>
      </c>
      <c r="H9" s="176">
        <f>S50</f>
        <v>0.26553672316384186</v>
      </c>
      <c r="P9"/>
      <c r="R9" s="10"/>
    </row>
    <row r="10" spans="1:26" x14ac:dyDescent="0.25">
      <c r="A10" s="177" t="s">
        <v>254</v>
      </c>
      <c r="B10" s="163">
        <v>0.95</v>
      </c>
      <c r="C10" s="184">
        <f t="shared" si="4"/>
        <v>14.99</v>
      </c>
      <c r="D10" s="216">
        <f>C10-C7</f>
        <v>0.59999999999999964</v>
      </c>
      <c r="E10" s="173">
        <f t="shared" si="0"/>
        <v>22</v>
      </c>
      <c r="F10" s="172">
        <f t="shared" si="1"/>
        <v>0.26506024096385544</v>
      </c>
      <c r="G10" s="174">
        <f t="shared" si="2"/>
        <v>0.40000000000000036</v>
      </c>
      <c r="H10" s="176">
        <f>S51</f>
        <v>2.741603838245376E-2</v>
      </c>
      <c r="P10"/>
      <c r="R10" s="10"/>
    </row>
    <row r="11" spans="1:26" x14ac:dyDescent="0.25">
      <c r="A11" s="177" t="s">
        <v>255</v>
      </c>
      <c r="B11" s="163">
        <v>0.92</v>
      </c>
      <c r="C11" s="184">
        <f t="shared" si="4"/>
        <v>18.239999999999998</v>
      </c>
      <c r="D11" s="186">
        <f>C11-C7</f>
        <v>3.8499999999999979</v>
      </c>
      <c r="E11" s="173">
        <f t="shared" si="0"/>
        <v>-253</v>
      </c>
      <c r="F11" s="172">
        <f t="shared" si="1"/>
        <v>-0.16032953105196451</v>
      </c>
      <c r="G11" s="174">
        <f t="shared" si="2"/>
        <v>5.0999999999999979</v>
      </c>
      <c r="H11" s="176">
        <f>S52</f>
        <v>0.38812785388127835</v>
      </c>
      <c r="P11"/>
      <c r="R11" s="10"/>
    </row>
    <row r="12" spans="1:26" ht="15.75" thickBot="1" x14ac:dyDescent="0.3">
      <c r="A12" s="178" t="s">
        <v>256</v>
      </c>
      <c r="B12" s="179">
        <v>0.92</v>
      </c>
      <c r="C12" s="185">
        <f t="shared" si="4"/>
        <v>17.39</v>
      </c>
      <c r="D12" s="187">
        <f>C12-C7</f>
        <v>3</v>
      </c>
      <c r="E12" s="180">
        <f t="shared" si="0"/>
        <v>197</v>
      </c>
      <c r="F12" s="181">
        <f t="shared" si="1"/>
        <v>0.13319810682893848</v>
      </c>
      <c r="G12" s="182">
        <f t="shared" si="2"/>
        <v>4.3500000000000014</v>
      </c>
      <c r="H12" s="183">
        <f>S53</f>
        <v>0.33358895705521485</v>
      </c>
      <c r="P12"/>
      <c r="R12" s="10"/>
    </row>
    <row r="13" spans="1:26" x14ac:dyDescent="0.25">
      <c r="A13" s="1"/>
      <c r="B13" s="34"/>
      <c r="C13" s="35"/>
      <c r="D13" s="35"/>
    </row>
    <row r="14" spans="1:26" x14ac:dyDescent="0.25">
      <c r="G14" s="214"/>
    </row>
    <row r="17" spans="1:26" ht="15.75" x14ac:dyDescent="0.25">
      <c r="A17" s="315" t="s">
        <v>324</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8" t="s">
        <v>188</v>
      </c>
      <c r="B18" s="189">
        <v>2001</v>
      </c>
      <c r="C18" s="189">
        <v>2002</v>
      </c>
      <c r="D18" s="189">
        <v>2003</v>
      </c>
      <c r="E18" s="189">
        <v>2004</v>
      </c>
      <c r="F18" s="189">
        <v>2005</v>
      </c>
      <c r="G18" s="189">
        <v>2006</v>
      </c>
      <c r="H18" s="189">
        <v>2007</v>
      </c>
      <c r="I18" s="189">
        <v>2008</v>
      </c>
      <c r="J18" s="189">
        <v>2009</v>
      </c>
      <c r="K18" s="189">
        <v>2010</v>
      </c>
      <c r="L18" s="189">
        <v>2011</v>
      </c>
      <c r="M18" s="189">
        <v>2012</v>
      </c>
      <c r="N18" s="189">
        <v>2013</v>
      </c>
      <c r="O18" s="189">
        <v>2014</v>
      </c>
      <c r="P18" s="189">
        <v>2015</v>
      </c>
      <c r="Q18" s="189">
        <v>2016</v>
      </c>
      <c r="R18" s="189">
        <v>2017</v>
      </c>
      <c r="S18" s="189">
        <v>2018</v>
      </c>
      <c r="T18" s="189">
        <v>2019</v>
      </c>
      <c r="U18" s="189">
        <v>2020</v>
      </c>
      <c r="V18" s="189">
        <v>2021</v>
      </c>
      <c r="W18" s="189">
        <v>2022</v>
      </c>
    </row>
    <row r="19" spans="1:26" ht="15.75" thickBot="1" x14ac:dyDescent="0.3">
      <c r="A19" s="164" t="s">
        <v>323</v>
      </c>
      <c r="B19" s="165">
        <v>376</v>
      </c>
      <c r="C19" s="165">
        <v>424</v>
      </c>
      <c r="D19" s="165">
        <v>470</v>
      </c>
      <c r="E19" s="165">
        <v>499</v>
      </c>
      <c r="F19" s="165">
        <v>523</v>
      </c>
      <c r="G19" s="165">
        <v>415</v>
      </c>
      <c r="H19" s="165">
        <v>282</v>
      </c>
      <c r="I19" s="165">
        <v>279</v>
      </c>
      <c r="J19" s="165">
        <v>274</v>
      </c>
      <c r="K19" s="165">
        <v>274</v>
      </c>
      <c r="L19" s="165">
        <v>300</v>
      </c>
      <c r="M19" s="165">
        <v>346</v>
      </c>
      <c r="N19" s="165">
        <v>367</v>
      </c>
      <c r="O19" s="165">
        <v>373</v>
      </c>
      <c r="P19" s="165">
        <v>423</v>
      </c>
      <c r="Q19" s="165">
        <v>446</v>
      </c>
      <c r="R19" s="165">
        <v>557</v>
      </c>
      <c r="S19" s="165">
        <v>422</v>
      </c>
      <c r="T19" s="165">
        <v>236</v>
      </c>
      <c r="U19" s="165">
        <v>60</v>
      </c>
      <c r="V19" s="165">
        <v>57</v>
      </c>
      <c r="W19" s="165">
        <v>55</v>
      </c>
    </row>
    <row r="20" spans="1:26" ht="15.75" thickTop="1" x14ac:dyDescent="0.25">
      <c r="A20" s="142" t="s">
        <v>197</v>
      </c>
      <c r="B20" s="145">
        <v>66</v>
      </c>
      <c r="C20" s="145">
        <v>68</v>
      </c>
      <c r="D20" s="145">
        <v>64</v>
      </c>
      <c r="E20" s="145">
        <v>64</v>
      </c>
      <c r="F20" s="145">
        <v>64</v>
      </c>
      <c r="G20" s="145">
        <v>49</v>
      </c>
      <c r="H20" s="145">
        <v>53</v>
      </c>
      <c r="I20" s="145">
        <v>56</v>
      </c>
      <c r="J20" s="145">
        <v>65</v>
      </c>
      <c r="K20" s="145">
        <v>68</v>
      </c>
      <c r="L20" s="145">
        <v>68</v>
      </c>
      <c r="M20" s="145">
        <v>66</v>
      </c>
      <c r="N20" s="145">
        <v>69</v>
      </c>
      <c r="O20" s="145">
        <v>64</v>
      </c>
      <c r="P20" s="145">
        <v>61</v>
      </c>
      <c r="Q20" s="145">
        <v>40</v>
      </c>
      <c r="R20" s="145">
        <v>10</v>
      </c>
      <c r="S20" s="145">
        <v>0</v>
      </c>
      <c r="T20" s="145">
        <v>0</v>
      </c>
      <c r="U20" s="145">
        <v>0</v>
      </c>
      <c r="V20" s="145">
        <v>0</v>
      </c>
      <c r="W20" s="145">
        <v>0</v>
      </c>
    </row>
    <row r="21" spans="1:26" x14ac:dyDescent="0.25">
      <c r="A21" s="142" t="s">
        <v>198</v>
      </c>
      <c r="B21" s="143">
        <v>63</v>
      </c>
      <c r="C21" s="143">
        <v>67</v>
      </c>
      <c r="D21" s="143">
        <v>66</v>
      </c>
      <c r="E21" s="143">
        <v>72</v>
      </c>
      <c r="F21" s="143">
        <v>71</v>
      </c>
      <c r="G21" s="143">
        <v>79</v>
      </c>
      <c r="H21" s="143">
        <v>79</v>
      </c>
      <c r="I21" s="143">
        <v>76</v>
      </c>
      <c r="J21" s="143">
        <v>71</v>
      </c>
      <c r="K21" s="143">
        <v>69</v>
      </c>
      <c r="L21" s="143">
        <v>78</v>
      </c>
      <c r="M21" s="143">
        <v>77</v>
      </c>
      <c r="N21" s="143">
        <v>83</v>
      </c>
      <c r="O21" s="143">
        <v>88</v>
      </c>
      <c r="P21" s="143">
        <v>94</v>
      </c>
      <c r="Q21" s="143">
        <v>105</v>
      </c>
      <c r="R21" s="143">
        <v>119</v>
      </c>
      <c r="S21" s="143">
        <v>116</v>
      </c>
      <c r="T21" s="143">
        <v>107</v>
      </c>
      <c r="U21" s="143">
        <v>93</v>
      </c>
      <c r="V21" s="143">
        <v>92</v>
      </c>
      <c r="W21" s="143">
        <v>103</v>
      </c>
    </row>
    <row r="22" spans="1:26" x14ac:dyDescent="0.25">
      <c r="A22" s="142" t="s">
        <v>254</v>
      </c>
      <c r="B22" s="143">
        <v>83</v>
      </c>
      <c r="C22" s="143">
        <v>99</v>
      </c>
      <c r="D22" s="143">
        <v>112</v>
      </c>
      <c r="E22" s="143">
        <v>123</v>
      </c>
      <c r="F22" s="143">
        <v>131</v>
      </c>
      <c r="G22" s="143">
        <v>144</v>
      </c>
      <c r="H22" s="143">
        <v>122</v>
      </c>
      <c r="I22" s="143">
        <v>106</v>
      </c>
      <c r="J22" s="143">
        <v>101</v>
      </c>
      <c r="K22" s="143">
        <v>99</v>
      </c>
      <c r="L22" s="143">
        <v>108</v>
      </c>
      <c r="M22" s="143">
        <v>65</v>
      </c>
      <c r="N22" s="143">
        <v>64</v>
      </c>
      <c r="O22" s="143">
        <v>63</v>
      </c>
      <c r="P22" s="143">
        <v>62</v>
      </c>
      <c r="Q22" s="143">
        <v>75</v>
      </c>
      <c r="R22" s="143">
        <v>83</v>
      </c>
      <c r="S22" s="143">
        <v>92</v>
      </c>
      <c r="T22" s="143">
        <v>103</v>
      </c>
      <c r="U22" s="143">
        <v>86</v>
      </c>
      <c r="V22" s="143">
        <v>85</v>
      </c>
      <c r="W22" s="143">
        <v>105</v>
      </c>
    </row>
    <row r="23" spans="1:26" x14ac:dyDescent="0.25">
      <c r="A23" s="177" t="s">
        <v>255</v>
      </c>
      <c r="B23" s="145">
        <v>1578</v>
      </c>
      <c r="C23" s="145">
        <v>1615</v>
      </c>
      <c r="D23" s="145">
        <v>1652</v>
      </c>
      <c r="E23" s="145">
        <v>1685</v>
      </c>
      <c r="F23" s="145">
        <v>1720</v>
      </c>
      <c r="G23" s="145">
        <v>1669</v>
      </c>
      <c r="H23" s="145">
        <v>1685</v>
      </c>
      <c r="I23" s="145">
        <v>1643</v>
      </c>
      <c r="J23" s="145">
        <v>1559</v>
      </c>
      <c r="K23" s="145">
        <v>1617</v>
      </c>
      <c r="L23" s="145">
        <v>1725</v>
      </c>
      <c r="M23" s="145">
        <v>1815</v>
      </c>
      <c r="N23" s="145">
        <v>1849</v>
      </c>
      <c r="O23" s="145">
        <v>1859</v>
      </c>
      <c r="P23" s="145">
        <v>1913</v>
      </c>
      <c r="Q23" s="145">
        <v>1947</v>
      </c>
      <c r="R23" s="145">
        <v>1852</v>
      </c>
      <c r="S23" s="145">
        <v>1621</v>
      </c>
      <c r="T23" s="145">
        <v>1435</v>
      </c>
      <c r="U23" s="145">
        <v>1267</v>
      </c>
      <c r="V23" s="145">
        <v>1283</v>
      </c>
      <c r="W23" s="145">
        <v>1325</v>
      </c>
    </row>
    <row r="24" spans="1:26" x14ac:dyDescent="0.25">
      <c r="A24" s="142" t="s">
        <v>256</v>
      </c>
      <c r="B24" s="145">
        <v>1479</v>
      </c>
      <c r="C24" s="145">
        <v>1494</v>
      </c>
      <c r="D24" s="145">
        <v>1528</v>
      </c>
      <c r="E24" s="145">
        <v>1554</v>
      </c>
      <c r="F24" s="145">
        <v>1574</v>
      </c>
      <c r="G24" s="145">
        <v>1593</v>
      </c>
      <c r="H24" s="145">
        <v>1552</v>
      </c>
      <c r="I24" s="145">
        <v>1524</v>
      </c>
      <c r="J24" s="145">
        <v>1410</v>
      </c>
      <c r="K24" s="145">
        <v>1453</v>
      </c>
      <c r="L24" s="145">
        <v>1512</v>
      </c>
      <c r="M24" s="145">
        <v>1574</v>
      </c>
      <c r="N24" s="145">
        <v>1638</v>
      </c>
      <c r="O24" s="145">
        <v>1700</v>
      </c>
      <c r="P24" s="145">
        <v>1764</v>
      </c>
      <c r="Q24" s="145">
        <v>1867</v>
      </c>
      <c r="R24" s="145">
        <v>1912</v>
      </c>
      <c r="S24" s="145">
        <v>1935</v>
      </c>
      <c r="T24" s="145">
        <v>1970</v>
      </c>
      <c r="U24" s="145">
        <v>1706</v>
      </c>
      <c r="V24" s="145">
        <v>1697</v>
      </c>
      <c r="W24" s="145">
        <v>1676</v>
      </c>
    </row>
    <row r="25" spans="1:26"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row>
    <row r="26" spans="1:26" x14ac:dyDescent="0.25">
      <c r="A26" s="141"/>
      <c r="B26" s="141"/>
      <c r="C26" s="141"/>
      <c r="D26" s="141"/>
      <c r="E26" s="141"/>
      <c r="F26" s="141"/>
      <c r="G26" s="141"/>
      <c r="H26" s="141"/>
      <c r="I26" s="141"/>
      <c r="J26" s="141"/>
      <c r="K26" s="141"/>
      <c r="L26" s="141"/>
      <c r="M26" s="141"/>
      <c r="N26" s="141"/>
      <c r="O26" s="141"/>
      <c r="P26" s="141"/>
      <c r="Q26" s="141"/>
      <c r="R26" s="141"/>
      <c r="S26" s="141"/>
      <c r="T26" s="141"/>
      <c r="U26" s="141"/>
      <c r="V26" s="141"/>
      <c r="W26" s="141"/>
    </row>
    <row r="27" spans="1:26" ht="15.75" x14ac:dyDescent="0.25">
      <c r="A27" s="315" t="s">
        <v>325</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8" t="s">
        <v>188</v>
      </c>
      <c r="B28" s="189">
        <v>2001</v>
      </c>
      <c r="C28" s="189">
        <v>2002</v>
      </c>
      <c r="D28" s="189">
        <v>2003</v>
      </c>
      <c r="E28" s="189">
        <v>2004</v>
      </c>
      <c r="F28" s="189">
        <v>2005</v>
      </c>
      <c r="G28" s="189">
        <v>2006</v>
      </c>
      <c r="H28" s="189">
        <v>2007</v>
      </c>
      <c r="I28" s="189">
        <v>2008</v>
      </c>
      <c r="J28" s="189">
        <v>2009</v>
      </c>
      <c r="K28" s="189">
        <v>2010</v>
      </c>
      <c r="L28" s="189">
        <v>2011</v>
      </c>
      <c r="M28" s="189">
        <v>2012</v>
      </c>
      <c r="N28" s="189">
        <v>2013</v>
      </c>
      <c r="O28" s="189">
        <v>2014</v>
      </c>
      <c r="P28" s="189">
        <v>2015</v>
      </c>
      <c r="Q28" s="189">
        <v>2016</v>
      </c>
      <c r="R28" s="189">
        <v>2017</v>
      </c>
      <c r="S28" s="189">
        <v>2018</v>
      </c>
      <c r="T28" s="189">
        <v>2019</v>
      </c>
      <c r="U28" s="189">
        <v>2020</v>
      </c>
      <c r="V28" s="189">
        <v>2021</v>
      </c>
      <c r="W28" s="189">
        <v>2022</v>
      </c>
    </row>
    <row r="29" spans="1:26" ht="15.75" thickBot="1" x14ac:dyDescent="0.3">
      <c r="A29" s="164" t="s">
        <v>323</v>
      </c>
      <c r="B29" s="166">
        <f t="shared" ref="B29:B34" si="5">(B19-B19)/B19</f>
        <v>0</v>
      </c>
      <c r="C29" s="166">
        <f t="shared" ref="C29:C34" si="6">(C19-B19)/B19</f>
        <v>0.1276595744680851</v>
      </c>
      <c r="D29" s="166">
        <f t="shared" ref="D29:D34" si="7">(D19-B19)/B19</f>
        <v>0.25</v>
      </c>
      <c r="E29" s="166">
        <f t="shared" ref="E29:E34" si="8">(E19-B19)/B19</f>
        <v>0.3271276595744681</v>
      </c>
      <c r="F29" s="166">
        <f t="shared" ref="F29:F34" si="9">(F19-B19)/B19</f>
        <v>0.39095744680851063</v>
      </c>
      <c r="G29" s="166">
        <f t="shared" ref="G29:G34" si="10">(G19-B19)/B19</f>
        <v>0.10372340425531915</v>
      </c>
      <c r="H29" s="166">
        <f t="shared" ref="H29:H34" si="11">(H19-B19)/B19</f>
        <v>-0.25</v>
      </c>
      <c r="I29" s="166">
        <f t="shared" ref="I29:I34" si="12">(I19-B19)/B19</f>
        <v>-0.25797872340425532</v>
      </c>
      <c r="J29" s="166">
        <f t="shared" ref="J29:J34" si="13">(J19-B19)/B19</f>
        <v>-0.27127659574468083</v>
      </c>
      <c r="K29" s="166">
        <f t="shared" ref="K29:K34" si="14">(K19-B19)/B19</f>
        <v>-0.27127659574468083</v>
      </c>
      <c r="L29" s="166">
        <f t="shared" ref="L29:L34" si="15">(L19-B19)/B19</f>
        <v>-0.20212765957446807</v>
      </c>
      <c r="M29" s="166">
        <f t="shared" ref="M29:M34" si="16">(M19-B19)/B19</f>
        <v>-7.9787234042553196E-2</v>
      </c>
      <c r="N29" s="166">
        <f t="shared" ref="N29:N34" si="17">(N19-B19)/B19</f>
        <v>-2.3936170212765957E-2</v>
      </c>
      <c r="O29" s="166">
        <f t="shared" ref="O29:O34" si="18">(O19-B19)/B19</f>
        <v>-7.9787234042553185E-3</v>
      </c>
      <c r="P29" s="166">
        <f t="shared" ref="P29:P34" si="19">(P19-B19)/B19</f>
        <v>0.125</v>
      </c>
      <c r="Q29" s="166">
        <f t="shared" ref="Q29:Q34" si="20">(Q19-B19)/B19</f>
        <v>0.18617021276595744</v>
      </c>
      <c r="R29" s="166">
        <f t="shared" ref="R29:R34" si="21">(R19-B19)/B19</f>
        <v>0.48138297872340424</v>
      </c>
      <c r="S29" s="166">
        <f t="shared" ref="S29:S34" si="22">(S19-B19)/B19</f>
        <v>0.12234042553191489</v>
      </c>
      <c r="T29" s="166">
        <f t="shared" ref="T29:T34" si="23">(T19-B19)/B19</f>
        <v>-0.37234042553191488</v>
      </c>
      <c r="U29" s="166">
        <f t="shared" ref="U29:U34" si="24">(U19-B19)/B19</f>
        <v>-0.84042553191489366</v>
      </c>
      <c r="V29" s="166">
        <f t="shared" ref="V29:V34" si="25">(V19-B19)/B19</f>
        <v>-0.84840425531914898</v>
      </c>
      <c r="W29" s="166">
        <f>(W19-B19)/B19</f>
        <v>-0.85372340425531912</v>
      </c>
      <c r="Y29" t="s">
        <v>254</v>
      </c>
      <c r="Z29" s="215">
        <v>-0.39</v>
      </c>
    </row>
    <row r="30" spans="1:26" ht="15.75" thickTop="1" x14ac:dyDescent="0.25">
      <c r="A30" s="142" t="s">
        <v>197</v>
      </c>
      <c r="B30" s="146">
        <f t="shared" si="5"/>
        <v>0</v>
      </c>
      <c r="C30" s="146">
        <f t="shared" si="6"/>
        <v>3.0303030303030304E-2</v>
      </c>
      <c r="D30" s="146">
        <f t="shared" si="7"/>
        <v>-3.0303030303030304E-2</v>
      </c>
      <c r="E30" s="146">
        <f t="shared" si="8"/>
        <v>-3.0303030303030304E-2</v>
      </c>
      <c r="F30" s="146">
        <f t="shared" si="9"/>
        <v>-3.0303030303030304E-2</v>
      </c>
      <c r="G30" s="146">
        <f t="shared" si="10"/>
        <v>-0.25757575757575757</v>
      </c>
      <c r="H30" s="146">
        <f t="shared" si="11"/>
        <v>-0.19696969696969696</v>
      </c>
      <c r="I30" s="146">
        <f t="shared" si="12"/>
        <v>-0.15151515151515152</v>
      </c>
      <c r="J30" s="146">
        <f t="shared" si="13"/>
        <v>-1.5151515151515152E-2</v>
      </c>
      <c r="K30" s="146">
        <f t="shared" si="14"/>
        <v>3.0303030303030304E-2</v>
      </c>
      <c r="L30" s="146">
        <f t="shared" si="15"/>
        <v>3.0303030303030304E-2</v>
      </c>
      <c r="M30" s="146">
        <f t="shared" si="16"/>
        <v>0</v>
      </c>
      <c r="N30" s="146">
        <f t="shared" si="17"/>
        <v>4.5454545454545456E-2</v>
      </c>
      <c r="O30" s="146">
        <f t="shared" si="18"/>
        <v>-3.0303030303030304E-2</v>
      </c>
      <c r="P30" s="146">
        <f t="shared" si="19"/>
        <v>-7.575757575757576E-2</v>
      </c>
      <c r="Q30" s="146">
        <f t="shared" si="20"/>
        <v>-0.39393939393939392</v>
      </c>
      <c r="R30" s="146">
        <f t="shared" si="21"/>
        <v>-0.84848484848484851</v>
      </c>
      <c r="S30" s="146">
        <f t="shared" si="22"/>
        <v>-1</v>
      </c>
      <c r="T30" s="146">
        <f t="shared" si="23"/>
        <v>-1</v>
      </c>
      <c r="U30" s="146">
        <f t="shared" si="24"/>
        <v>-1</v>
      </c>
      <c r="V30" s="146">
        <f t="shared" si="25"/>
        <v>-1</v>
      </c>
      <c r="W30" s="146">
        <f t="shared" ref="W30:W34" si="26">(W20-B20)/B20</f>
        <v>-1</v>
      </c>
      <c r="Y30" t="s">
        <v>323</v>
      </c>
      <c r="Z30" s="215">
        <v>-0.16</v>
      </c>
    </row>
    <row r="31" spans="1:26" x14ac:dyDescent="0.25">
      <c r="A31" s="142" t="s">
        <v>198</v>
      </c>
      <c r="B31" s="146">
        <f t="shared" si="5"/>
        <v>0</v>
      </c>
      <c r="C31" s="146">
        <f t="shared" si="6"/>
        <v>6.3492063492063489E-2</v>
      </c>
      <c r="D31" s="146">
        <f t="shared" si="7"/>
        <v>4.7619047619047616E-2</v>
      </c>
      <c r="E31" s="146">
        <f t="shared" si="8"/>
        <v>0.14285714285714285</v>
      </c>
      <c r="F31" s="146">
        <f t="shared" si="9"/>
        <v>0.12698412698412698</v>
      </c>
      <c r="G31" s="146">
        <f t="shared" si="10"/>
        <v>0.25396825396825395</v>
      </c>
      <c r="H31" s="146">
        <f t="shared" si="11"/>
        <v>0.25396825396825395</v>
      </c>
      <c r="I31" s="146">
        <f t="shared" si="12"/>
        <v>0.20634920634920634</v>
      </c>
      <c r="J31" s="146">
        <f t="shared" si="13"/>
        <v>0.12698412698412698</v>
      </c>
      <c r="K31" s="146">
        <f t="shared" si="14"/>
        <v>9.5238095238095233E-2</v>
      </c>
      <c r="L31" s="146">
        <f t="shared" si="15"/>
        <v>0.23809523809523808</v>
      </c>
      <c r="M31" s="146">
        <f t="shared" si="16"/>
        <v>0.22222222222222221</v>
      </c>
      <c r="N31" s="146">
        <f t="shared" si="17"/>
        <v>0.31746031746031744</v>
      </c>
      <c r="O31" s="146">
        <f t="shared" si="18"/>
        <v>0.3968253968253968</v>
      </c>
      <c r="P31" s="146">
        <f t="shared" si="19"/>
        <v>0.49206349206349204</v>
      </c>
      <c r="Q31" s="146">
        <f t="shared" si="20"/>
        <v>0.66666666666666663</v>
      </c>
      <c r="R31" s="146">
        <f t="shared" si="21"/>
        <v>0.88888888888888884</v>
      </c>
      <c r="S31" s="146">
        <f t="shared" si="22"/>
        <v>0.84126984126984128</v>
      </c>
      <c r="T31" s="146">
        <f t="shared" si="23"/>
        <v>0.69841269841269837</v>
      </c>
      <c r="U31" s="146">
        <f t="shared" si="24"/>
        <v>0.47619047619047616</v>
      </c>
      <c r="V31" s="146">
        <f t="shared" si="25"/>
        <v>0.46031746031746029</v>
      </c>
      <c r="W31" s="146">
        <f t="shared" si="26"/>
        <v>0.63492063492063489</v>
      </c>
      <c r="Y31" t="s">
        <v>198</v>
      </c>
      <c r="Z31" s="213">
        <v>1.5199999999999996</v>
      </c>
    </row>
    <row r="32" spans="1:26" x14ac:dyDescent="0.25">
      <c r="A32" s="142" t="s">
        <v>254</v>
      </c>
      <c r="B32" s="146">
        <f t="shared" si="5"/>
        <v>0</v>
      </c>
      <c r="C32" s="146">
        <f t="shared" si="6"/>
        <v>0.19277108433734941</v>
      </c>
      <c r="D32" s="146">
        <f t="shared" si="7"/>
        <v>0.3493975903614458</v>
      </c>
      <c r="E32" s="146">
        <f t="shared" si="8"/>
        <v>0.48192771084337349</v>
      </c>
      <c r="F32" s="146">
        <f t="shared" si="9"/>
        <v>0.57831325301204817</v>
      </c>
      <c r="G32" s="146">
        <f t="shared" si="10"/>
        <v>0.73493975903614461</v>
      </c>
      <c r="H32" s="146">
        <f t="shared" si="11"/>
        <v>0.46987951807228917</v>
      </c>
      <c r="I32" s="146">
        <f t="shared" si="12"/>
        <v>0.27710843373493976</v>
      </c>
      <c r="J32" s="146">
        <f t="shared" si="13"/>
        <v>0.21686746987951808</v>
      </c>
      <c r="K32" s="146">
        <f t="shared" si="14"/>
        <v>0.19277108433734941</v>
      </c>
      <c r="L32" s="146">
        <f t="shared" si="15"/>
        <v>0.30120481927710846</v>
      </c>
      <c r="M32" s="146">
        <f t="shared" si="16"/>
        <v>-0.21686746987951808</v>
      </c>
      <c r="N32" s="146">
        <f t="shared" si="17"/>
        <v>-0.2289156626506024</v>
      </c>
      <c r="O32" s="146">
        <f t="shared" si="18"/>
        <v>-0.24096385542168675</v>
      </c>
      <c r="P32" s="146">
        <f t="shared" si="19"/>
        <v>-0.25301204819277107</v>
      </c>
      <c r="Q32" s="146">
        <f t="shared" si="20"/>
        <v>-9.6385542168674704E-2</v>
      </c>
      <c r="R32" s="146">
        <f t="shared" si="21"/>
        <v>0</v>
      </c>
      <c r="S32" s="146">
        <f t="shared" si="22"/>
        <v>0.10843373493975904</v>
      </c>
      <c r="T32" s="146">
        <f t="shared" si="23"/>
        <v>0.24096385542168675</v>
      </c>
      <c r="U32" s="146">
        <f t="shared" si="24"/>
        <v>3.614457831325301E-2</v>
      </c>
      <c r="V32" s="146">
        <f t="shared" si="25"/>
        <v>2.4096385542168676E-2</v>
      </c>
      <c r="W32" s="146">
        <f t="shared" si="26"/>
        <v>0.26506024096385544</v>
      </c>
      <c r="Y32" t="s">
        <v>256</v>
      </c>
      <c r="Z32" s="213">
        <v>3.74</v>
      </c>
    </row>
    <row r="33" spans="1:26" x14ac:dyDescent="0.25">
      <c r="A33" s="177" t="s">
        <v>255</v>
      </c>
      <c r="B33" s="146">
        <f t="shared" si="5"/>
        <v>0</v>
      </c>
      <c r="C33" s="146">
        <f t="shared" si="6"/>
        <v>2.3447401774397972E-2</v>
      </c>
      <c r="D33" s="146">
        <f t="shared" si="7"/>
        <v>4.6894803548795945E-2</v>
      </c>
      <c r="E33" s="146">
        <f t="shared" si="8"/>
        <v>6.7807351077313061E-2</v>
      </c>
      <c r="F33" s="146">
        <f t="shared" si="9"/>
        <v>8.9987325728770592E-2</v>
      </c>
      <c r="G33" s="146">
        <f t="shared" si="10"/>
        <v>5.7667934093789605E-2</v>
      </c>
      <c r="H33" s="146">
        <f t="shared" si="11"/>
        <v>6.7807351077313061E-2</v>
      </c>
      <c r="I33" s="146">
        <f t="shared" si="12"/>
        <v>4.1191381495564006E-2</v>
      </c>
      <c r="J33" s="146">
        <f t="shared" si="13"/>
        <v>-1.2040557667934094E-2</v>
      </c>
      <c r="K33" s="146">
        <f t="shared" si="14"/>
        <v>2.4714828897338403E-2</v>
      </c>
      <c r="L33" s="146">
        <f t="shared" si="15"/>
        <v>9.3155893536121678E-2</v>
      </c>
      <c r="M33" s="146">
        <f t="shared" si="16"/>
        <v>0.15019011406844107</v>
      </c>
      <c r="N33" s="146">
        <f t="shared" si="17"/>
        <v>0.17173637515842838</v>
      </c>
      <c r="O33" s="146">
        <f t="shared" si="18"/>
        <v>0.17807351077313055</v>
      </c>
      <c r="P33" s="146">
        <f t="shared" si="19"/>
        <v>0.21229404309252217</v>
      </c>
      <c r="Q33" s="146">
        <f t="shared" si="20"/>
        <v>0.23384030418250951</v>
      </c>
      <c r="R33" s="146">
        <f t="shared" si="21"/>
        <v>0.17363751584283904</v>
      </c>
      <c r="S33" s="146">
        <f t="shared" si="22"/>
        <v>2.7249683143219267E-2</v>
      </c>
      <c r="T33" s="146">
        <f t="shared" si="23"/>
        <v>-9.0621039290240818E-2</v>
      </c>
      <c r="U33" s="146">
        <f t="shared" si="24"/>
        <v>-0.19708491761723701</v>
      </c>
      <c r="V33" s="146">
        <f t="shared" si="25"/>
        <v>-0.18694550063371357</v>
      </c>
      <c r="W33" s="146">
        <f t="shared" si="26"/>
        <v>-0.16032953105196451</v>
      </c>
      <c r="Y33" t="s">
        <v>255</v>
      </c>
      <c r="Z33" s="213">
        <v>4.8400000000000016</v>
      </c>
    </row>
    <row r="34" spans="1:26" x14ac:dyDescent="0.25">
      <c r="A34" s="142" t="s">
        <v>256</v>
      </c>
      <c r="B34" s="146">
        <f t="shared" si="5"/>
        <v>0</v>
      </c>
      <c r="C34" s="146">
        <f t="shared" si="6"/>
        <v>1.0141987829614604E-2</v>
      </c>
      <c r="D34" s="146">
        <f t="shared" si="7"/>
        <v>3.3130493576741041E-2</v>
      </c>
      <c r="E34" s="146">
        <f t="shared" si="8"/>
        <v>5.0709939148073022E-2</v>
      </c>
      <c r="F34" s="146">
        <f t="shared" si="9"/>
        <v>6.4232589587559161E-2</v>
      </c>
      <c r="G34" s="146">
        <f t="shared" si="10"/>
        <v>7.7079107505070993E-2</v>
      </c>
      <c r="H34" s="146">
        <f t="shared" si="11"/>
        <v>4.9357674104124408E-2</v>
      </c>
      <c r="I34" s="146">
        <f t="shared" si="12"/>
        <v>3.0425963488843813E-2</v>
      </c>
      <c r="J34" s="146">
        <f t="shared" si="13"/>
        <v>-4.665314401622718E-2</v>
      </c>
      <c r="K34" s="146">
        <f t="shared" si="14"/>
        <v>-1.7579445571331981E-2</v>
      </c>
      <c r="L34" s="146">
        <f t="shared" si="15"/>
        <v>2.231237322515213E-2</v>
      </c>
      <c r="M34" s="146">
        <f t="shared" si="16"/>
        <v>6.4232589587559161E-2</v>
      </c>
      <c r="N34" s="146">
        <f t="shared" si="17"/>
        <v>0.10750507099391481</v>
      </c>
      <c r="O34" s="146">
        <f t="shared" si="18"/>
        <v>0.14942528735632185</v>
      </c>
      <c r="P34" s="146">
        <f t="shared" si="19"/>
        <v>0.1926977687626775</v>
      </c>
      <c r="Q34" s="146">
        <f t="shared" si="20"/>
        <v>0.2623394185260311</v>
      </c>
      <c r="R34" s="146">
        <f t="shared" si="21"/>
        <v>0.2927653820148749</v>
      </c>
      <c r="S34" s="146">
        <f t="shared" si="22"/>
        <v>0.30831643002028397</v>
      </c>
      <c r="T34" s="146">
        <f t="shared" si="23"/>
        <v>0.33198106828938473</v>
      </c>
      <c r="U34" s="146">
        <f t="shared" si="24"/>
        <v>0.15348208248816769</v>
      </c>
      <c r="V34" s="146">
        <f t="shared" si="25"/>
        <v>0.14739688979039892</v>
      </c>
      <c r="W34" s="146">
        <f t="shared" si="26"/>
        <v>0.13319810682893848</v>
      </c>
      <c r="Y34" t="s">
        <v>197</v>
      </c>
      <c r="Z34" s="213">
        <v>5.2899999999999991</v>
      </c>
    </row>
    <row r="35" spans="1:26" x14ac:dyDescent="0.25">
      <c r="A35" s="1"/>
      <c r="B35" s="1"/>
      <c r="C35" s="1"/>
      <c r="D35" s="38"/>
      <c r="E35" s="1"/>
      <c r="F35" s="1"/>
      <c r="G35" s="1"/>
      <c r="H35" s="1"/>
      <c r="I35" s="1"/>
      <c r="J35" s="1"/>
      <c r="K35" s="1"/>
      <c r="L35" s="1"/>
      <c r="M35" s="1"/>
      <c r="N35" s="1"/>
      <c r="O35" s="39"/>
      <c r="P35" s="1"/>
      <c r="Q35" s="1"/>
      <c r="R35" s="1"/>
      <c r="S35" s="1"/>
      <c r="T35" s="1"/>
      <c r="U35" s="1"/>
      <c r="V35" s="1"/>
      <c r="W35" s="1"/>
    </row>
    <row r="36" spans="1:26" ht="15.75" x14ac:dyDescent="0.25">
      <c r="A36" s="315" t="s">
        <v>326</v>
      </c>
      <c r="B36" s="315"/>
      <c r="C36" s="315"/>
      <c r="D36" s="315"/>
      <c r="E36" s="315"/>
      <c r="F36" s="315"/>
      <c r="G36" s="315"/>
      <c r="H36" s="315"/>
      <c r="I36" s="315"/>
      <c r="J36" s="315"/>
      <c r="K36" s="315"/>
      <c r="L36" s="315"/>
      <c r="M36" s="315"/>
      <c r="N36" s="315"/>
      <c r="O36" s="315"/>
      <c r="P36" s="315"/>
      <c r="Q36" s="315"/>
      <c r="R36" s="315"/>
      <c r="S36" s="315"/>
    </row>
    <row r="37" spans="1:26" x14ac:dyDescent="0.25">
      <c r="A37" s="188" t="s">
        <v>188</v>
      </c>
      <c r="B37" s="189">
        <v>2005</v>
      </c>
      <c r="C37" s="189">
        <v>2006</v>
      </c>
      <c r="D37" s="189">
        <v>2007</v>
      </c>
      <c r="E37" s="189">
        <v>2008</v>
      </c>
      <c r="F37" s="189">
        <v>2009</v>
      </c>
      <c r="G37" s="189">
        <v>2010</v>
      </c>
      <c r="H37" s="189">
        <v>2011</v>
      </c>
      <c r="I37" s="189">
        <v>2012</v>
      </c>
      <c r="J37" s="189">
        <v>2013</v>
      </c>
      <c r="K37" s="189">
        <v>2014</v>
      </c>
      <c r="L37" s="189">
        <v>2015</v>
      </c>
      <c r="M37" s="189">
        <v>2016</v>
      </c>
      <c r="N37" s="189">
        <v>2017</v>
      </c>
      <c r="O37" s="189">
        <v>2018</v>
      </c>
      <c r="P37" s="189">
        <v>2019</v>
      </c>
      <c r="Q37" s="189">
        <v>2020</v>
      </c>
      <c r="R37" s="189">
        <v>2021</v>
      </c>
      <c r="S37" s="189">
        <v>2022</v>
      </c>
    </row>
    <row r="38" spans="1:26" ht="15.75" thickBot="1" x14ac:dyDescent="0.3">
      <c r="A38" s="164" t="s">
        <v>323</v>
      </c>
      <c r="B38" s="167">
        <v>14.55</v>
      </c>
      <c r="C38" s="167">
        <v>12.04</v>
      </c>
      <c r="D38" s="167">
        <v>14.59</v>
      </c>
      <c r="E38" s="167">
        <v>14.26</v>
      </c>
      <c r="F38" s="167">
        <v>16.03</v>
      </c>
      <c r="G38" s="167">
        <v>15.78</v>
      </c>
      <c r="H38" s="167">
        <v>15.97</v>
      </c>
      <c r="I38" s="167">
        <v>11.12</v>
      </c>
      <c r="J38" s="167">
        <v>10.91</v>
      </c>
      <c r="K38" s="167">
        <v>11.19</v>
      </c>
      <c r="L38" s="167">
        <v>10.84</v>
      </c>
      <c r="M38" s="167">
        <v>11.38</v>
      </c>
      <c r="N38" s="167">
        <v>12.07</v>
      </c>
      <c r="O38" s="167">
        <v>12.53</v>
      </c>
      <c r="P38" s="167">
        <v>13.09</v>
      </c>
      <c r="Q38" s="167">
        <v>12.75</v>
      </c>
      <c r="R38" s="167">
        <v>11.7</v>
      </c>
      <c r="S38" s="168">
        <v>14.39</v>
      </c>
      <c r="T38" s="213">
        <f>S38-(B38*1.4985)</f>
        <v>-7.413174999999999</v>
      </c>
      <c r="U38" s="220">
        <f>T38/B38</f>
        <v>-0.50949656357388307</v>
      </c>
    </row>
    <row r="39" spans="1:26" ht="15.75" thickTop="1" x14ac:dyDescent="0.25">
      <c r="A39" s="142" t="s">
        <v>197</v>
      </c>
      <c r="B39" s="149">
        <v>23.39</v>
      </c>
      <c r="C39" s="149">
        <v>21.03</v>
      </c>
      <c r="D39" s="149">
        <v>18.96</v>
      </c>
      <c r="E39" s="149">
        <v>17.260000000000002</v>
      </c>
      <c r="F39" s="149">
        <v>19.46</v>
      </c>
      <c r="G39" s="149">
        <v>18.809999999999999</v>
      </c>
      <c r="H39" s="149">
        <v>25.28</v>
      </c>
      <c r="I39" s="149">
        <v>29.36</v>
      </c>
      <c r="J39" s="149">
        <v>29.74</v>
      </c>
      <c r="K39" s="149">
        <v>25.95</v>
      </c>
      <c r="L39" s="149">
        <v>25.23</v>
      </c>
      <c r="M39" s="149">
        <v>26.1</v>
      </c>
      <c r="N39" s="149">
        <v>26.1</v>
      </c>
      <c r="O39" s="149">
        <v>26.1</v>
      </c>
      <c r="P39" s="149">
        <v>26.1</v>
      </c>
      <c r="Q39" s="149">
        <v>26.1</v>
      </c>
      <c r="R39" s="149">
        <v>26.1</v>
      </c>
      <c r="S39" s="150">
        <v>26.1</v>
      </c>
      <c r="T39" s="213">
        <f t="shared" ref="T39:T43" si="27">S39-(B39*1.4985)</f>
        <v>-8.9499149999999972</v>
      </c>
      <c r="U39" s="220">
        <f>T39/B39</f>
        <v>-0.38263852073535687</v>
      </c>
    </row>
    <row r="40" spans="1:26" x14ac:dyDescent="0.25">
      <c r="A40" s="142" t="s">
        <v>198</v>
      </c>
      <c r="B40" s="149">
        <v>15.93</v>
      </c>
      <c r="C40" s="149">
        <v>11.57</v>
      </c>
      <c r="D40" s="149">
        <v>14.79</v>
      </c>
      <c r="E40" s="149">
        <v>14.54</v>
      </c>
      <c r="F40" s="149">
        <v>14.5</v>
      </c>
      <c r="G40" s="149">
        <v>11.72</v>
      </c>
      <c r="H40" s="149">
        <v>12.36</v>
      </c>
      <c r="I40" s="149">
        <v>13.24</v>
      </c>
      <c r="J40" s="149">
        <v>14.49</v>
      </c>
      <c r="K40" s="149">
        <v>18.93</v>
      </c>
      <c r="L40" s="149">
        <v>22.42</v>
      </c>
      <c r="M40" s="149">
        <v>22.87</v>
      </c>
      <c r="N40" s="149">
        <v>18.89</v>
      </c>
      <c r="O40" s="149">
        <v>14.44</v>
      </c>
      <c r="P40" s="149">
        <v>14.23</v>
      </c>
      <c r="Q40" s="149">
        <v>15.04</v>
      </c>
      <c r="R40" s="149">
        <v>17.489999999999998</v>
      </c>
      <c r="S40" s="150">
        <v>20.16</v>
      </c>
      <c r="T40" s="213">
        <f t="shared" si="27"/>
        <v>-3.7111049999999999</v>
      </c>
      <c r="U40" s="220">
        <f>T40/B40</f>
        <v>-0.2329632768361582</v>
      </c>
    </row>
    <row r="41" spans="1:26" x14ac:dyDescent="0.25">
      <c r="A41" s="142" t="s">
        <v>254</v>
      </c>
      <c r="B41" s="149">
        <v>14.59</v>
      </c>
      <c r="C41" s="149">
        <v>12.06</v>
      </c>
      <c r="D41" s="149">
        <v>14.62</v>
      </c>
      <c r="E41" s="149">
        <v>14.41</v>
      </c>
      <c r="F41" s="149">
        <v>16.18</v>
      </c>
      <c r="G41" s="149">
        <v>15.79</v>
      </c>
      <c r="H41" s="149">
        <v>15.72</v>
      </c>
      <c r="I41" s="149">
        <v>33.44</v>
      </c>
      <c r="J41" s="149">
        <v>34.57</v>
      </c>
      <c r="K41" s="149">
        <v>32.44</v>
      </c>
      <c r="L41" s="149">
        <v>26.2</v>
      </c>
      <c r="M41" s="149">
        <v>28.25</v>
      </c>
      <c r="N41" s="149">
        <v>32.700000000000003</v>
      </c>
      <c r="O41" s="149">
        <v>20.6</v>
      </c>
      <c r="P41" s="149">
        <v>23.46</v>
      </c>
      <c r="Q41" s="149">
        <v>23.09</v>
      </c>
      <c r="R41" s="149">
        <v>14.36</v>
      </c>
      <c r="S41" s="150">
        <v>14.99</v>
      </c>
      <c r="T41" s="213">
        <f t="shared" si="27"/>
        <v>-6.8731150000000003</v>
      </c>
      <c r="U41" s="220">
        <f t="shared" ref="U41:U43" si="28">T41/B41</f>
        <v>-0.47108396161754629</v>
      </c>
    </row>
    <row r="42" spans="1:26" x14ac:dyDescent="0.25">
      <c r="A42" s="177" t="s">
        <v>255</v>
      </c>
      <c r="B42" s="151">
        <v>13.14</v>
      </c>
      <c r="C42" s="151">
        <v>13.53</v>
      </c>
      <c r="D42" s="151">
        <v>13.64</v>
      </c>
      <c r="E42" s="151">
        <v>13.57</v>
      </c>
      <c r="F42" s="151">
        <v>13.55</v>
      </c>
      <c r="G42" s="151">
        <v>14.36</v>
      </c>
      <c r="H42" s="151">
        <v>14.81</v>
      </c>
      <c r="I42" s="151">
        <v>14.48</v>
      </c>
      <c r="J42" s="151">
        <v>14.69</v>
      </c>
      <c r="K42" s="151">
        <v>14.88</v>
      </c>
      <c r="L42" s="151">
        <v>15.39</v>
      </c>
      <c r="M42" s="151">
        <v>15.53</v>
      </c>
      <c r="N42" s="151">
        <v>15.96</v>
      </c>
      <c r="O42" s="151">
        <v>16</v>
      </c>
      <c r="P42" s="151">
        <v>16.8</v>
      </c>
      <c r="Q42" s="151">
        <v>16.75</v>
      </c>
      <c r="R42" s="151">
        <v>17.36</v>
      </c>
      <c r="S42" s="152">
        <v>18.239999999999998</v>
      </c>
      <c r="T42" s="213">
        <f t="shared" si="27"/>
        <v>-1.4502900000000025</v>
      </c>
      <c r="U42" s="220">
        <f t="shared" si="28"/>
        <v>-0.11037214611872165</v>
      </c>
    </row>
    <row r="43" spans="1:26" x14ac:dyDescent="0.25">
      <c r="A43" s="142" t="s">
        <v>256</v>
      </c>
      <c r="B43" s="151">
        <v>13.04</v>
      </c>
      <c r="C43" s="151">
        <v>10.88</v>
      </c>
      <c r="D43" s="151">
        <v>12.45</v>
      </c>
      <c r="E43" s="151">
        <v>11.1</v>
      </c>
      <c r="F43" s="151">
        <v>12.92</v>
      </c>
      <c r="G43" s="151">
        <v>13.33</v>
      </c>
      <c r="H43" s="151">
        <v>13.44</v>
      </c>
      <c r="I43" s="151">
        <v>13.34</v>
      </c>
      <c r="J43" s="151">
        <v>12.05</v>
      </c>
      <c r="K43" s="151">
        <v>13.03</v>
      </c>
      <c r="L43" s="151">
        <v>15.46</v>
      </c>
      <c r="M43" s="151">
        <v>17</v>
      </c>
      <c r="N43" s="151">
        <v>16.87</v>
      </c>
      <c r="O43" s="151">
        <v>16.350000000000001</v>
      </c>
      <c r="P43" s="151">
        <v>15.94</v>
      </c>
      <c r="Q43" s="151">
        <v>16.22</v>
      </c>
      <c r="R43" s="151">
        <v>16.71</v>
      </c>
      <c r="S43" s="152">
        <v>17.39</v>
      </c>
      <c r="T43" s="213">
        <f t="shared" si="27"/>
        <v>-2.1504399999999961</v>
      </c>
      <c r="U43" s="220">
        <f t="shared" si="28"/>
        <v>-0.16491104294478498</v>
      </c>
    </row>
    <row r="44" spans="1:26" x14ac:dyDescent="0.25">
      <c r="A44" s="1"/>
      <c r="B44" s="1"/>
      <c r="C44" s="1"/>
      <c r="D44" s="1"/>
      <c r="E44" s="1"/>
      <c r="F44" s="1"/>
      <c r="G44" s="1"/>
      <c r="H44" s="1"/>
      <c r="I44" s="1"/>
      <c r="J44" s="1"/>
      <c r="K44" s="39"/>
      <c r="L44" s="1"/>
      <c r="M44" s="1"/>
      <c r="N44" s="1"/>
      <c r="O44" s="1"/>
      <c r="P44" s="1"/>
      <c r="Q44" s="1"/>
      <c r="R44" s="1"/>
      <c r="S44" s="1"/>
    </row>
    <row r="45" spans="1:26" x14ac:dyDescent="0.25">
      <c r="A45" s="1"/>
      <c r="B45" s="1"/>
      <c r="C45" s="1"/>
      <c r="D45" s="1"/>
      <c r="E45" s="1"/>
      <c r="F45" s="1"/>
      <c r="G45" s="1"/>
      <c r="H45" s="1"/>
      <c r="I45" s="1"/>
      <c r="J45" s="1"/>
      <c r="K45" s="39"/>
      <c r="L45" s="1"/>
      <c r="M45" s="1"/>
      <c r="N45" s="1"/>
      <c r="O45" s="1"/>
      <c r="P45" s="1"/>
      <c r="Q45" s="1"/>
      <c r="R45" s="1"/>
      <c r="S45" s="1"/>
    </row>
    <row r="46" spans="1:26" ht="15.75" x14ac:dyDescent="0.25">
      <c r="A46" s="315" t="s">
        <v>327</v>
      </c>
      <c r="B46" s="315"/>
      <c r="C46" s="315"/>
      <c r="D46" s="315"/>
      <c r="E46" s="315"/>
      <c r="F46" s="315"/>
      <c r="G46" s="315"/>
      <c r="H46" s="315"/>
      <c r="I46" s="315"/>
      <c r="J46" s="315"/>
      <c r="K46" s="315"/>
      <c r="L46" s="315"/>
      <c r="M46" s="315"/>
      <c r="N46" s="315"/>
      <c r="O46" s="315"/>
      <c r="P46" s="315"/>
      <c r="Q46" s="315"/>
      <c r="R46" s="315"/>
      <c r="S46" s="315"/>
    </row>
    <row r="47" spans="1:26" x14ac:dyDescent="0.25">
      <c r="A47" s="188" t="s">
        <v>188</v>
      </c>
      <c r="B47" s="189">
        <v>2005</v>
      </c>
      <c r="C47" s="189">
        <v>2006</v>
      </c>
      <c r="D47" s="189">
        <v>2007</v>
      </c>
      <c r="E47" s="189">
        <v>2008</v>
      </c>
      <c r="F47" s="189">
        <v>2009</v>
      </c>
      <c r="G47" s="189">
        <v>2010</v>
      </c>
      <c r="H47" s="189">
        <v>2011</v>
      </c>
      <c r="I47" s="189">
        <v>2012</v>
      </c>
      <c r="J47" s="189">
        <v>2013</v>
      </c>
      <c r="K47" s="189">
        <v>2014</v>
      </c>
      <c r="L47" s="189">
        <v>2015</v>
      </c>
      <c r="M47" s="189">
        <v>2016</v>
      </c>
      <c r="N47" s="189">
        <v>2017</v>
      </c>
      <c r="O47" s="189">
        <v>2018</v>
      </c>
      <c r="P47" s="189">
        <v>2019</v>
      </c>
      <c r="Q47" s="189">
        <v>2020</v>
      </c>
      <c r="R47" s="189">
        <v>2021</v>
      </c>
      <c r="S47" s="189">
        <v>2022</v>
      </c>
    </row>
    <row r="48" spans="1:26" ht="15.75" thickBot="1" x14ac:dyDescent="0.3">
      <c r="A48" s="164" t="s">
        <v>323</v>
      </c>
      <c r="B48" s="166">
        <f>(B38-B38)/B38</f>
        <v>0</v>
      </c>
      <c r="C48" s="166">
        <f>(C38-B38)/B38</f>
        <v>-0.1725085910652922</v>
      </c>
      <c r="D48" s="166">
        <f>(D38-B38)/B38</f>
        <v>2.7491408934707316E-3</v>
      </c>
      <c r="E48" s="166">
        <f>(E38-B38)/B38</f>
        <v>-1.9931271477663291E-2</v>
      </c>
      <c r="F48" s="166">
        <f>(F38-B38)/B38</f>
        <v>0.10171821305841927</v>
      </c>
      <c r="G48" s="166">
        <f>(G38-B38)/B38</f>
        <v>8.4536082474226712E-2</v>
      </c>
      <c r="H48" s="166">
        <f>(H38-B38)/B38</f>
        <v>9.7594501718213045E-2</v>
      </c>
      <c r="I48" s="166">
        <f t="shared" ref="I48:I53" si="29">(I38-B38)/B38</f>
        <v>-0.23573883161512035</v>
      </c>
      <c r="J48" s="166">
        <f t="shared" ref="J48:J53" si="30">(J38-B38)/B38</f>
        <v>-0.25017182130584192</v>
      </c>
      <c r="K48" s="166">
        <f t="shared" ref="K48:K53" si="31">(K38-B38)/B38</f>
        <v>-0.23092783505154646</v>
      </c>
      <c r="L48" s="166">
        <f t="shared" ref="L48:L53" si="32">(L38-B38)/B38</f>
        <v>-0.25498281786941585</v>
      </c>
      <c r="M48" s="166">
        <f t="shared" ref="M48:M53" si="33">(M38-B38)/B38</f>
        <v>-0.21786941580756011</v>
      </c>
      <c r="N48" s="166">
        <f t="shared" ref="N48:N53" si="34">(N38-B38)/B38</f>
        <v>-0.17044673539518904</v>
      </c>
      <c r="O48" s="166">
        <f t="shared" ref="O48:O53" si="35">(O38-B38)/B38</f>
        <v>-0.138831615120275</v>
      </c>
      <c r="P48" s="166">
        <f t="shared" ref="P48:P53" si="36">(P38-B38)/B38</f>
        <v>-0.10034364261168391</v>
      </c>
      <c r="Q48" s="166">
        <f t="shared" ref="Q48:Q53" si="37">(Q38-B38)/B38</f>
        <v>-0.12371134020618561</v>
      </c>
      <c r="R48" s="166">
        <f t="shared" ref="R48:R53" si="38">(R38-B38)/B38</f>
        <v>-0.1958762886597939</v>
      </c>
      <c r="S48" s="166">
        <f t="shared" ref="S48:S53" si="39">(S38-B38)/B38</f>
        <v>-1.0996563573883171E-2</v>
      </c>
    </row>
    <row r="49" spans="1:19" ht="15.75" thickTop="1" x14ac:dyDescent="0.25">
      <c r="A49" s="142" t="s">
        <v>197</v>
      </c>
      <c r="B49" s="146">
        <f>(B39-B39)/B39</f>
        <v>0</v>
      </c>
      <c r="C49" s="146">
        <f>(C39-B39)/B39</f>
        <v>-0.1008978195810175</v>
      </c>
      <c r="D49" s="146">
        <f>(D39-B39)/B39</f>
        <v>-0.18939717828131677</v>
      </c>
      <c r="E49" s="146">
        <f>(E39-B39)/B39</f>
        <v>-0.26207781103035482</v>
      </c>
      <c r="F49" s="146">
        <f>(F39-B39)/B39</f>
        <v>-0.16802052159042324</v>
      </c>
      <c r="G49" s="146">
        <f>(G39-B39)/B39</f>
        <v>-0.19581017528858494</v>
      </c>
      <c r="H49" s="146">
        <f>(H39-B39)/B39</f>
        <v>8.0803762291577624E-2</v>
      </c>
      <c r="I49" s="146">
        <f t="shared" si="29"/>
        <v>0.25523728088926884</v>
      </c>
      <c r="J49" s="146">
        <f t="shared" si="30"/>
        <v>0.27148353997434793</v>
      </c>
      <c r="K49" s="146">
        <f t="shared" si="31"/>
        <v>0.10944848225737489</v>
      </c>
      <c r="L49" s="146">
        <f t="shared" si="32"/>
        <v>7.8666096622488232E-2</v>
      </c>
      <c r="M49" s="146">
        <f t="shared" si="33"/>
        <v>0.11586147926464305</v>
      </c>
      <c r="N49" s="146">
        <f t="shared" si="34"/>
        <v>0.11586147926464305</v>
      </c>
      <c r="O49" s="146">
        <f t="shared" si="35"/>
        <v>0.11586147926464305</v>
      </c>
      <c r="P49" s="146">
        <f t="shared" si="36"/>
        <v>0.11586147926464305</v>
      </c>
      <c r="Q49" s="146">
        <f t="shared" si="37"/>
        <v>0.11586147926464305</v>
      </c>
      <c r="R49" s="146">
        <f t="shared" si="38"/>
        <v>0.11586147926464305</v>
      </c>
      <c r="S49" s="146">
        <f t="shared" si="39"/>
        <v>0.11586147926464305</v>
      </c>
    </row>
    <row r="50" spans="1:19" x14ac:dyDescent="0.25">
      <c r="A50" s="142" t="s">
        <v>198</v>
      </c>
      <c r="B50" s="146">
        <f>(B40-B40)/B40</f>
        <v>0</v>
      </c>
      <c r="C50" s="146">
        <f>(C40-B40)/B40</f>
        <v>-0.27369742623979909</v>
      </c>
      <c r="D50" s="146">
        <f>(D40-B40)/B40</f>
        <v>-7.1563088512241094E-2</v>
      </c>
      <c r="E50" s="146">
        <f>(E40-B40)/B40</f>
        <v>-8.7256748273697463E-2</v>
      </c>
      <c r="F50" s="146">
        <f>(F40-B40)/B40</f>
        <v>-8.9767733835530425E-2</v>
      </c>
      <c r="G50" s="146">
        <f>(G40-B40)/B40</f>
        <v>-0.26428123038292523</v>
      </c>
      <c r="H50" s="146">
        <f>(H40-B40)/B40</f>
        <v>-0.22410546139359702</v>
      </c>
      <c r="I50" s="146">
        <f t="shared" si="29"/>
        <v>-0.16886377903327052</v>
      </c>
      <c r="J50" s="146">
        <f t="shared" si="30"/>
        <v>-9.0395480225988672E-2</v>
      </c>
      <c r="K50" s="146">
        <f t="shared" si="31"/>
        <v>0.18832391713747645</v>
      </c>
      <c r="L50" s="146">
        <f t="shared" si="32"/>
        <v>0.40740740740740755</v>
      </c>
      <c r="M50" s="146">
        <f t="shared" si="33"/>
        <v>0.43565599497802898</v>
      </c>
      <c r="N50" s="146">
        <f t="shared" si="34"/>
        <v>0.18581293157564349</v>
      </c>
      <c r="O50" s="146">
        <f t="shared" si="35"/>
        <v>-9.3534212178279993E-2</v>
      </c>
      <c r="P50" s="146">
        <f t="shared" si="36"/>
        <v>-0.10671688637790329</v>
      </c>
      <c r="Q50" s="146">
        <f t="shared" si="37"/>
        <v>-5.5869428750784718E-2</v>
      </c>
      <c r="R50" s="146">
        <f t="shared" si="38"/>
        <v>9.7928436911487685E-2</v>
      </c>
      <c r="S50" s="146">
        <f t="shared" si="39"/>
        <v>0.26553672316384186</v>
      </c>
    </row>
    <row r="51" spans="1:19" x14ac:dyDescent="0.25">
      <c r="A51" s="142" t="s">
        <v>254</v>
      </c>
      <c r="B51" s="146">
        <f>(B41-B41)/B41</f>
        <v>0</v>
      </c>
      <c r="C51" s="146">
        <f>(C41-B41)/B41</f>
        <v>-0.17340644276901984</v>
      </c>
      <c r="D51" s="146">
        <f>(D41-B41)/B41</f>
        <v>2.0562028786839863E-3</v>
      </c>
      <c r="E51" s="146">
        <f>(E41-B41)/B41</f>
        <v>-1.2337217272104161E-2</v>
      </c>
      <c r="F51" s="146">
        <f>(F41-B41)/B41</f>
        <v>0.10897875257025359</v>
      </c>
      <c r="G51" s="146">
        <f>(G41-B41)/B41</f>
        <v>8.2248115147361162E-2</v>
      </c>
      <c r="H51" s="146">
        <f>(H41-B41)/B41</f>
        <v>7.7450308430431852E-2</v>
      </c>
      <c r="I51" s="146">
        <f t="shared" si="29"/>
        <v>1.2919808087731321</v>
      </c>
      <c r="J51" s="146">
        <f t="shared" si="30"/>
        <v>1.369431117203564</v>
      </c>
      <c r="K51" s="146">
        <f t="shared" si="31"/>
        <v>1.2234407128169977</v>
      </c>
      <c r="L51" s="146">
        <f t="shared" si="32"/>
        <v>0.79575051405071962</v>
      </c>
      <c r="M51" s="146">
        <f t="shared" si="33"/>
        <v>0.93625771076079511</v>
      </c>
      <c r="N51" s="146">
        <f t="shared" si="34"/>
        <v>1.2412611377655931</v>
      </c>
      <c r="O51" s="146">
        <f t="shared" si="35"/>
        <v>0.41192597669636749</v>
      </c>
      <c r="P51" s="146">
        <f t="shared" si="36"/>
        <v>0.60795065113091162</v>
      </c>
      <c r="Q51" s="146">
        <f t="shared" si="37"/>
        <v>0.58259081562714188</v>
      </c>
      <c r="R51" s="146">
        <f t="shared" si="38"/>
        <v>-1.5764222069910926E-2</v>
      </c>
      <c r="S51" s="146">
        <f t="shared" si="39"/>
        <v>2.741603838245376E-2</v>
      </c>
    </row>
    <row r="52" spans="1:19" x14ac:dyDescent="0.25">
      <c r="A52" s="177" t="s">
        <v>255</v>
      </c>
      <c r="B52" s="146">
        <f t="shared" ref="B52:B53" si="40">(B42-B42)/B42</f>
        <v>0</v>
      </c>
      <c r="C52" s="146">
        <f t="shared" ref="C52:C53" si="41">(C42-B42)/B42</f>
        <v>2.9680365296803561E-2</v>
      </c>
      <c r="D52" s="146">
        <f t="shared" ref="D52:D53" si="42">(D42-B42)/B42</f>
        <v>3.8051750380517502E-2</v>
      </c>
      <c r="E52" s="146">
        <f t="shared" ref="E52:E53" si="43">(E42-B42)/B42</f>
        <v>3.2724505327245031E-2</v>
      </c>
      <c r="F52" s="146">
        <f t="shared" ref="F52:F53" si="44">(F42-B42)/B42</f>
        <v>3.1202435312024362E-2</v>
      </c>
      <c r="G52" s="146">
        <f t="shared" ref="G52:G53" si="45">(G42-B42)/B42</f>
        <v>9.2846270928462621E-2</v>
      </c>
      <c r="H52" s="146">
        <f t="shared" ref="H52:H53" si="46">(H42-B42)/B42</f>
        <v>0.12709284627092846</v>
      </c>
      <c r="I52" s="146">
        <f t="shared" si="29"/>
        <v>0.10197869101978689</v>
      </c>
      <c r="J52" s="146">
        <f t="shared" si="30"/>
        <v>0.11796042617960417</v>
      </c>
      <c r="K52" s="146">
        <f t="shared" si="31"/>
        <v>0.13242009132420093</v>
      </c>
      <c r="L52" s="146">
        <f t="shared" si="32"/>
        <v>0.17123287671232876</v>
      </c>
      <c r="M52" s="146">
        <f t="shared" si="33"/>
        <v>0.18188736681887357</v>
      </c>
      <c r="N52" s="146">
        <f t="shared" si="34"/>
        <v>0.21461187214611874</v>
      </c>
      <c r="O52" s="146">
        <f t="shared" si="35"/>
        <v>0.21765601217656008</v>
      </c>
      <c r="P52" s="146">
        <f t="shared" si="36"/>
        <v>0.27853881278538811</v>
      </c>
      <c r="Q52" s="146">
        <f t="shared" si="37"/>
        <v>0.27473363774733633</v>
      </c>
      <c r="R52" s="146">
        <f t="shared" si="38"/>
        <v>0.32115677321156766</v>
      </c>
      <c r="S52" s="146">
        <f t="shared" si="39"/>
        <v>0.38812785388127835</v>
      </c>
    </row>
    <row r="53" spans="1:19" x14ac:dyDescent="0.25">
      <c r="A53" s="142" t="s">
        <v>256</v>
      </c>
      <c r="B53" s="146">
        <f t="shared" si="40"/>
        <v>0</v>
      </c>
      <c r="C53" s="146">
        <f t="shared" si="41"/>
        <v>-0.16564417177914098</v>
      </c>
      <c r="D53" s="146">
        <f t="shared" si="42"/>
        <v>-4.5245398773006124E-2</v>
      </c>
      <c r="E53" s="146">
        <f t="shared" si="43"/>
        <v>-0.1487730061349693</v>
      </c>
      <c r="F53" s="146">
        <f t="shared" si="44"/>
        <v>-9.2024539877300013E-3</v>
      </c>
      <c r="G53" s="146">
        <f t="shared" si="45"/>
        <v>2.2239263803681054E-2</v>
      </c>
      <c r="H53" s="146">
        <f t="shared" si="46"/>
        <v>3.0674846625766899E-2</v>
      </c>
      <c r="I53" s="146">
        <f t="shared" si="29"/>
        <v>2.3006134969325208E-2</v>
      </c>
      <c r="J53" s="146">
        <f t="shared" si="30"/>
        <v>-7.5920245398772887E-2</v>
      </c>
      <c r="K53" s="146">
        <f t="shared" si="31"/>
        <v>-7.6687116564415553E-4</v>
      </c>
      <c r="L53" s="146">
        <f t="shared" si="32"/>
        <v>0.18558282208588972</v>
      </c>
      <c r="M53" s="146">
        <f t="shared" si="33"/>
        <v>0.3036809815950921</v>
      </c>
      <c r="N53" s="146">
        <f t="shared" si="34"/>
        <v>0.29371165644171793</v>
      </c>
      <c r="O53" s="146">
        <f t="shared" si="35"/>
        <v>0.25383435582822106</v>
      </c>
      <c r="P53" s="146">
        <f t="shared" si="36"/>
        <v>0.22239263803680986</v>
      </c>
      <c r="Q53" s="146">
        <f t="shared" si="37"/>
        <v>0.24386503067484663</v>
      </c>
      <c r="R53" s="146">
        <f t="shared" si="38"/>
        <v>0.28144171779141119</v>
      </c>
      <c r="S53" s="146">
        <f t="shared" si="39"/>
        <v>0.33358895705521485</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zoomScaleNormal="100" workbookViewId="0">
      <selection activeCell="V21" sqref="V21"/>
    </sheetView>
  </sheetViews>
  <sheetFormatPr defaultColWidth="9.140625" defaultRowHeight="14.25" x14ac:dyDescent="0.2"/>
  <cols>
    <col min="1" max="1" width="28.28515625" style="1" customWidth="1"/>
    <col min="2" max="3" width="10.140625" style="1" bestFit="1" customWidth="1"/>
    <col min="4" max="4" width="10.140625" style="38" bestFit="1" customWidth="1"/>
    <col min="5" max="5" width="10.7109375" style="1" customWidth="1"/>
    <col min="6" max="14" width="10.140625" style="1" bestFit="1" customWidth="1"/>
    <col min="15" max="15" width="10.140625" style="39"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3" customWidth="1"/>
    <col min="37" max="16384" width="9.140625" style="1"/>
  </cols>
  <sheetData>
    <row r="1" spans="1:28" ht="23.25" x14ac:dyDescent="0.35">
      <c r="A1" s="262" t="s">
        <v>328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329</v>
      </c>
      <c r="B3" s="315"/>
      <c r="C3" s="315"/>
      <c r="D3" s="315"/>
      <c r="E3" s="315"/>
      <c r="F3" s="315"/>
      <c r="G3" s="315"/>
      <c r="H3" s="315"/>
      <c r="I3" s="315"/>
      <c r="J3" s="315"/>
      <c r="K3" s="315"/>
      <c r="L3" s="315"/>
      <c r="M3" s="315"/>
      <c r="N3" s="315"/>
      <c r="O3" s="315"/>
      <c r="P3" s="315"/>
      <c r="Q3" s="315"/>
      <c r="R3" s="315"/>
      <c r="S3" s="315"/>
      <c r="T3" s="315"/>
      <c r="U3" s="315"/>
      <c r="V3" s="315"/>
      <c r="W3" s="315"/>
      <c r="X3" s="141"/>
    </row>
    <row r="4" spans="1:28" x14ac:dyDescent="0.2">
      <c r="A4" s="188" t="s">
        <v>188</v>
      </c>
      <c r="B4" s="189">
        <v>2001</v>
      </c>
      <c r="C4" s="189">
        <v>2002</v>
      </c>
      <c r="D4" s="189">
        <v>2003</v>
      </c>
      <c r="E4" s="189">
        <v>2004</v>
      </c>
      <c r="F4" s="189">
        <v>2005</v>
      </c>
      <c r="G4" s="189">
        <v>2006</v>
      </c>
      <c r="H4" s="189">
        <v>2007</v>
      </c>
      <c r="I4" s="189">
        <v>2008</v>
      </c>
      <c r="J4" s="189">
        <v>2009</v>
      </c>
      <c r="K4" s="189">
        <v>2010</v>
      </c>
      <c r="L4" s="189">
        <v>2011</v>
      </c>
      <c r="M4" s="189">
        <v>2012</v>
      </c>
      <c r="N4" s="189">
        <v>2013</v>
      </c>
      <c r="O4" s="189">
        <v>2014</v>
      </c>
      <c r="P4" s="189">
        <v>2015</v>
      </c>
      <c r="Q4" s="189">
        <v>2016</v>
      </c>
      <c r="R4" s="189">
        <v>2017</v>
      </c>
      <c r="S4" s="189">
        <v>2018</v>
      </c>
      <c r="T4" s="189">
        <v>2019</v>
      </c>
      <c r="U4" s="189">
        <v>2020</v>
      </c>
      <c r="V4" s="189">
        <v>2021</v>
      </c>
      <c r="W4" s="189">
        <v>2022</v>
      </c>
      <c r="X4" s="141"/>
    </row>
    <row r="5" spans="1:28" x14ac:dyDescent="0.2">
      <c r="A5" s="142" t="s">
        <v>225</v>
      </c>
      <c r="B5" s="143">
        <f>'5C'!B19</f>
        <v>376</v>
      </c>
      <c r="C5" s="143">
        <f>'5C'!C19</f>
        <v>424</v>
      </c>
      <c r="D5" s="143">
        <f>'5C'!D19</f>
        <v>470</v>
      </c>
      <c r="E5" s="143">
        <f>'5C'!E19</f>
        <v>499</v>
      </c>
      <c r="F5" s="143">
        <f>'5C'!F19</f>
        <v>523</v>
      </c>
      <c r="G5" s="143">
        <f>'5C'!G19</f>
        <v>415</v>
      </c>
      <c r="H5" s="143">
        <f>'5C'!H19</f>
        <v>282</v>
      </c>
      <c r="I5" s="143">
        <f>'5C'!I19</f>
        <v>279</v>
      </c>
      <c r="J5" s="143">
        <f>'5C'!J19</f>
        <v>274</v>
      </c>
      <c r="K5" s="143">
        <f>'5C'!K19</f>
        <v>274</v>
      </c>
      <c r="L5" s="143">
        <f>'5C'!L19</f>
        <v>300</v>
      </c>
      <c r="M5" s="143">
        <f>'5C'!M19</f>
        <v>346</v>
      </c>
      <c r="N5" s="143">
        <f>'5C'!N19</f>
        <v>367</v>
      </c>
      <c r="O5" s="143">
        <f>'5C'!O19</f>
        <v>373</v>
      </c>
      <c r="P5" s="143">
        <f>'5C'!P19</f>
        <v>423</v>
      </c>
      <c r="Q5" s="143">
        <f>'5C'!Q19</f>
        <v>446</v>
      </c>
      <c r="R5" s="143">
        <f>'5C'!R19</f>
        <v>557</v>
      </c>
      <c r="S5" s="143">
        <f>'5C'!S19</f>
        <v>422</v>
      </c>
      <c r="T5" s="143">
        <f>'5C'!T19</f>
        <v>236</v>
      </c>
      <c r="U5" s="143">
        <f>'5C'!U19</f>
        <v>60</v>
      </c>
      <c r="V5" s="143">
        <f>'5C'!V19</f>
        <v>57</v>
      </c>
      <c r="W5" s="143">
        <f>'5C'!W19</f>
        <v>55</v>
      </c>
      <c r="X5" s="144"/>
    </row>
    <row r="6" spans="1:28" x14ac:dyDescent="0.2">
      <c r="A6" s="142" t="s">
        <v>226</v>
      </c>
      <c r="B6" s="143">
        <v>11397</v>
      </c>
      <c r="C6" s="143">
        <v>12608</v>
      </c>
      <c r="D6" s="143">
        <v>14351</v>
      </c>
      <c r="E6" s="143">
        <v>14916</v>
      </c>
      <c r="F6" s="143">
        <v>15586</v>
      </c>
      <c r="G6" s="143">
        <v>16533</v>
      </c>
      <c r="H6" s="143">
        <v>14850</v>
      </c>
      <c r="I6" s="143">
        <v>15608</v>
      </c>
      <c r="J6" s="143">
        <v>16187</v>
      </c>
      <c r="K6" s="143">
        <v>16358</v>
      </c>
      <c r="L6" s="143">
        <v>18002</v>
      </c>
      <c r="M6" s="143">
        <v>19622</v>
      </c>
      <c r="N6" s="143">
        <v>19750</v>
      </c>
      <c r="O6" s="143">
        <v>19021</v>
      </c>
      <c r="P6" s="143">
        <v>19802</v>
      </c>
      <c r="Q6" s="143">
        <v>17400</v>
      </c>
      <c r="R6" s="143">
        <v>16257</v>
      </c>
      <c r="S6" s="143">
        <v>12079</v>
      </c>
      <c r="T6" s="143">
        <v>8631</v>
      </c>
      <c r="U6" s="143">
        <v>4796</v>
      </c>
      <c r="V6" s="143">
        <v>3435</v>
      </c>
      <c r="W6" s="143">
        <v>4344</v>
      </c>
      <c r="X6" s="144"/>
    </row>
    <row r="7" spans="1:28" x14ac:dyDescent="0.2">
      <c r="A7" s="142" t="s">
        <v>227</v>
      </c>
      <c r="B7" s="143">
        <v>241633</v>
      </c>
      <c r="C7" s="143">
        <v>266625</v>
      </c>
      <c r="D7" s="143">
        <v>296677</v>
      </c>
      <c r="E7" s="143">
        <v>313183</v>
      </c>
      <c r="F7" s="143">
        <v>333940</v>
      </c>
      <c r="G7" s="143">
        <v>363872</v>
      </c>
      <c r="H7" s="143">
        <v>352112</v>
      </c>
      <c r="I7" s="143">
        <v>394219</v>
      </c>
      <c r="J7" s="143">
        <v>436449</v>
      </c>
      <c r="K7" s="143">
        <v>479093</v>
      </c>
      <c r="L7" s="143">
        <v>527455</v>
      </c>
      <c r="M7" s="143">
        <v>581178</v>
      </c>
      <c r="N7" s="143">
        <v>593379</v>
      </c>
      <c r="O7" s="143">
        <v>588151</v>
      </c>
      <c r="P7" s="143">
        <v>595373</v>
      </c>
      <c r="Q7" s="143">
        <v>578689</v>
      </c>
      <c r="R7" s="143">
        <v>581696</v>
      </c>
      <c r="S7" s="143">
        <v>558876</v>
      </c>
      <c r="T7" s="143">
        <v>526599</v>
      </c>
      <c r="U7" s="143">
        <v>432561</v>
      </c>
      <c r="V7" s="143">
        <v>363801</v>
      </c>
      <c r="W7" s="143">
        <v>385418</v>
      </c>
      <c r="X7" s="144"/>
    </row>
    <row r="8" spans="1:28" ht="15.75" x14ac:dyDescent="0.25">
      <c r="A8" s="141"/>
      <c r="B8" s="141"/>
      <c r="C8" s="141"/>
      <c r="D8" s="141"/>
      <c r="E8" s="141"/>
      <c r="F8" s="141"/>
      <c r="G8" s="141"/>
      <c r="H8" s="141"/>
      <c r="I8" s="141"/>
      <c r="J8" s="141"/>
      <c r="K8" s="141"/>
      <c r="L8" s="141"/>
      <c r="M8" s="141"/>
      <c r="N8" s="141"/>
      <c r="O8" s="141"/>
      <c r="P8" s="141"/>
      <c r="Q8" s="141"/>
      <c r="R8" s="141"/>
      <c r="S8" s="141"/>
      <c r="T8" s="141"/>
      <c r="U8" s="141"/>
      <c r="V8" s="141"/>
      <c r="W8" s="141"/>
      <c r="X8" s="144"/>
      <c r="Y8" s="148"/>
      <c r="Z8" s="147"/>
    </row>
    <row r="9" spans="1:28" x14ac:dyDescent="0.2">
      <c r="A9" s="141"/>
      <c r="B9" s="141"/>
      <c r="C9" s="141"/>
      <c r="D9" s="141"/>
      <c r="E9" s="141"/>
      <c r="F9" s="141"/>
      <c r="G9" s="141"/>
      <c r="H9" s="141"/>
      <c r="I9" s="141"/>
      <c r="J9" s="141"/>
      <c r="K9" s="141"/>
      <c r="L9" s="141"/>
      <c r="M9" s="141"/>
      <c r="N9" s="141"/>
      <c r="O9" s="141"/>
      <c r="P9" s="141"/>
      <c r="Q9" s="141"/>
      <c r="R9" s="141"/>
      <c r="S9" s="141"/>
      <c r="T9" s="141"/>
      <c r="U9" s="141"/>
      <c r="V9" s="141"/>
      <c r="W9" s="141"/>
    </row>
    <row r="10" spans="1:28" ht="15.75" x14ac:dyDescent="0.25">
      <c r="A10" s="315" t="s">
        <v>330</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8" t="s">
        <v>188</v>
      </c>
      <c r="B11" s="189">
        <v>2001</v>
      </c>
      <c r="C11" s="189">
        <v>2002</v>
      </c>
      <c r="D11" s="189">
        <v>2003</v>
      </c>
      <c r="E11" s="189">
        <v>2004</v>
      </c>
      <c r="F11" s="189">
        <v>2005</v>
      </c>
      <c r="G11" s="189">
        <v>2006</v>
      </c>
      <c r="H11" s="189">
        <v>2007</v>
      </c>
      <c r="I11" s="189">
        <v>2008</v>
      </c>
      <c r="J11" s="189">
        <v>2009</v>
      </c>
      <c r="K11" s="189">
        <v>2010</v>
      </c>
      <c r="L11" s="189">
        <v>2011</v>
      </c>
      <c r="M11" s="189">
        <v>2012</v>
      </c>
      <c r="N11" s="189">
        <v>2013</v>
      </c>
      <c r="O11" s="189">
        <v>2014</v>
      </c>
      <c r="P11" s="189">
        <v>2015</v>
      </c>
      <c r="Q11" s="189">
        <v>2016</v>
      </c>
      <c r="R11" s="189">
        <v>2017</v>
      </c>
      <c r="S11" s="189">
        <v>2018</v>
      </c>
      <c r="T11" s="189">
        <v>2019</v>
      </c>
      <c r="U11" s="189">
        <v>2020</v>
      </c>
      <c r="V11" s="189">
        <v>2021</v>
      </c>
      <c r="W11" s="189">
        <v>2022</v>
      </c>
    </row>
    <row r="12" spans="1:28" x14ac:dyDescent="0.2">
      <c r="A12" s="142" t="s">
        <v>225</v>
      </c>
      <c r="B12" s="169">
        <f>(B5-B5)/B5</f>
        <v>0</v>
      </c>
      <c r="C12" s="169">
        <f>(C5-B5)/B5</f>
        <v>0.1276595744680851</v>
      </c>
      <c r="D12" s="169">
        <f>(D5-B5)/B5</f>
        <v>0.25</v>
      </c>
      <c r="E12" s="169">
        <f>(E5-B5)/B5</f>
        <v>0.3271276595744681</v>
      </c>
      <c r="F12" s="169">
        <f>(F5-B5)/B5</f>
        <v>0.39095744680851063</v>
      </c>
      <c r="G12" s="169">
        <f>(G5-B5)/B5</f>
        <v>0.10372340425531915</v>
      </c>
      <c r="H12" s="169">
        <f>(H5-B5)/B5</f>
        <v>-0.25</v>
      </c>
      <c r="I12" s="169">
        <f>(I5-B5)/B5</f>
        <v>-0.25797872340425532</v>
      </c>
      <c r="J12" s="169">
        <f>(J5-B5)/B5</f>
        <v>-0.27127659574468083</v>
      </c>
      <c r="K12" s="169">
        <f>(K5-B5)/B5</f>
        <v>-0.27127659574468083</v>
      </c>
      <c r="L12" s="169">
        <f>(L5-B5)/B5</f>
        <v>-0.20212765957446807</v>
      </c>
      <c r="M12" s="169">
        <f>(M5-B5)/B5</f>
        <v>-7.9787234042553196E-2</v>
      </c>
      <c r="N12" s="169">
        <f>(N5-B5)/B5</f>
        <v>-2.3936170212765957E-2</v>
      </c>
      <c r="O12" s="169">
        <f>(O5-B5)/B5</f>
        <v>-7.9787234042553185E-3</v>
      </c>
      <c r="P12" s="169">
        <f>(P5-B5)/B5</f>
        <v>0.125</v>
      </c>
      <c r="Q12" s="169">
        <f>(Q5-B5)/B5</f>
        <v>0.18617021276595744</v>
      </c>
      <c r="R12" s="169">
        <f>(R5-B5)/B5</f>
        <v>0.48138297872340424</v>
      </c>
      <c r="S12" s="169">
        <f>(S5-B5)/B5</f>
        <v>0.12234042553191489</v>
      </c>
      <c r="T12" s="169">
        <f>(T5-B5)/B5</f>
        <v>-0.37234042553191488</v>
      </c>
      <c r="U12" s="169">
        <f>(U5-B5)/B5</f>
        <v>-0.84042553191489366</v>
      </c>
      <c r="V12" s="169">
        <f>(V5-B5)/B5</f>
        <v>-0.84840425531914898</v>
      </c>
      <c r="W12" s="169">
        <f>(W5-B5)/B5</f>
        <v>-0.85372340425531912</v>
      </c>
    </row>
    <row r="13" spans="1:28" x14ac:dyDescent="0.2">
      <c r="A13" s="142" t="s">
        <v>226</v>
      </c>
      <c r="B13" s="169">
        <f>(B6-B6)/B6</f>
        <v>0</v>
      </c>
      <c r="C13" s="169">
        <f>(C6-B6)/B6</f>
        <v>0.10625603228919892</v>
      </c>
      <c r="D13" s="169">
        <f>(D6-B6)/B6</f>
        <v>0.25919101517943316</v>
      </c>
      <c r="E13" s="169">
        <f>(E6-B6)/B6</f>
        <v>0.30876546459594628</v>
      </c>
      <c r="F13" s="169">
        <f>(F6-B6)/B6</f>
        <v>0.36755286478897958</v>
      </c>
      <c r="G13" s="169">
        <f>(G6-B6)/B6</f>
        <v>0.45064490655435641</v>
      </c>
      <c r="H13" s="169">
        <f>(H6-B6)/B6</f>
        <v>0.30297446696499081</v>
      </c>
      <c r="I13" s="169">
        <f>(I6-B6)/B6</f>
        <v>0.36948319733263141</v>
      </c>
      <c r="J13" s="169">
        <f>(J6-B6)/B6</f>
        <v>0.42028604018601384</v>
      </c>
      <c r="K13" s="169">
        <f>(K6-B6)/B6</f>
        <v>0.4352899885934895</v>
      </c>
      <c r="L13" s="169">
        <f>(L6-B6)/B6</f>
        <v>0.5795384750372905</v>
      </c>
      <c r="M13" s="169">
        <f>(M6-B6)/B6</f>
        <v>0.72168114416074403</v>
      </c>
      <c r="N13" s="169">
        <f>(N6-B6)/B6</f>
        <v>0.73291216986926389</v>
      </c>
      <c r="O13" s="169">
        <f>(O6-B6)/B6</f>
        <v>0.66894796876370977</v>
      </c>
      <c r="P13" s="169">
        <f>(P6-B6)/B6</f>
        <v>0.73747477406335005</v>
      </c>
      <c r="Q13" s="169">
        <f>(Q6-B6)/B6</f>
        <v>0.52671755725190839</v>
      </c>
      <c r="R13" s="169">
        <f>(R6-B6)/B6</f>
        <v>0.42642800737036063</v>
      </c>
      <c r="S13" s="169">
        <f>(S6-B6)/B6</f>
        <v>5.9840308853206986E-2</v>
      </c>
      <c r="T13" s="169">
        <f>(T6-B6)/B6</f>
        <v>-0.24269544617004474</v>
      </c>
      <c r="U13" s="169">
        <f>(U6-B6)/B6</f>
        <v>-0.5791875054838993</v>
      </c>
      <c r="V13" s="169">
        <f>(V6-B6)/B6</f>
        <v>-0.69860489602526976</v>
      </c>
      <c r="W13" s="169">
        <f>(W6-B6)/B6</f>
        <v>-0.61884706501710973</v>
      </c>
    </row>
    <row r="14" spans="1:28" x14ac:dyDescent="0.2">
      <c r="A14" s="142" t="s">
        <v>227</v>
      </c>
      <c r="B14" s="169">
        <f>(B7-B7)/B7</f>
        <v>0</v>
      </c>
      <c r="C14" s="169">
        <f>(C7-B7)/B7</f>
        <v>0.10342958122441885</v>
      </c>
      <c r="D14" s="169">
        <f>(D7-B7)/B7</f>
        <v>0.22780001076011969</v>
      </c>
      <c r="E14" s="169">
        <f>(E7-B7)/B7</f>
        <v>0.29611021673364152</v>
      </c>
      <c r="F14" s="169">
        <f>(F7-B7)/B7</f>
        <v>0.38201321839318303</v>
      </c>
      <c r="G14" s="169">
        <f>(G7-B7)/B7</f>
        <v>0.50588702702031596</v>
      </c>
      <c r="H14" s="169">
        <f>(H7-B7)/B7</f>
        <v>0.45721817798065661</v>
      </c>
      <c r="I14" s="169">
        <f>(I7-B7)/B7</f>
        <v>0.63147831628957962</v>
      </c>
      <c r="J14" s="169">
        <f>(J7-B7)/B7</f>
        <v>0.80624749102978488</v>
      </c>
      <c r="K14" s="169">
        <f>(K7-B7)/B7</f>
        <v>0.98273000790454945</v>
      </c>
      <c r="L14" s="169">
        <f>(L7-B7)/B7</f>
        <v>1.182876511072577</v>
      </c>
      <c r="M14" s="169">
        <f>(M7-B7)/B7</f>
        <v>1.4052095533308777</v>
      </c>
      <c r="N14" s="169">
        <f>(N7-B7)/B7</f>
        <v>1.4557034842095244</v>
      </c>
      <c r="O14" s="169">
        <f>(O7-B7)/B7</f>
        <v>1.4340673666262473</v>
      </c>
      <c r="P14" s="169">
        <f>(P7-B7)/B7</f>
        <v>1.4639556683068953</v>
      </c>
      <c r="Q14" s="169">
        <f>(Q7-B7)/B7</f>
        <v>1.3949088079856642</v>
      </c>
      <c r="R14" s="169">
        <f>(R7-B7)/B7</f>
        <v>1.4073533002528629</v>
      </c>
      <c r="S14" s="169">
        <f>(S7-B7)/B7</f>
        <v>1.3129125574735239</v>
      </c>
      <c r="T14" s="169">
        <f>(T7-B7)/B7</f>
        <v>1.1793339485914589</v>
      </c>
      <c r="U14" s="169">
        <f>(U7-B7)/B7</f>
        <v>0.79015697359218318</v>
      </c>
      <c r="V14" s="169">
        <f>(V7-B7)/B7</f>
        <v>0.50559319298274652</v>
      </c>
      <c r="W14" s="169">
        <f>(W7-B7)/B7</f>
        <v>0.5950553111536917</v>
      </c>
    </row>
    <row r="16" spans="1:28" ht="15.75" x14ac:dyDescent="0.25">
      <c r="A16" s="315" t="s">
        <v>331</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8" t="s">
        <v>188</v>
      </c>
      <c r="B17" s="189">
        <v>2005</v>
      </c>
      <c r="C17" s="189">
        <v>2006</v>
      </c>
      <c r="D17" s="189">
        <v>2007</v>
      </c>
      <c r="E17" s="189">
        <v>2008</v>
      </c>
      <c r="F17" s="189">
        <v>2009</v>
      </c>
      <c r="G17" s="189">
        <v>2010</v>
      </c>
      <c r="H17" s="189">
        <v>2011</v>
      </c>
      <c r="I17" s="189">
        <v>2012</v>
      </c>
      <c r="J17" s="189">
        <v>2013</v>
      </c>
      <c r="K17" s="189">
        <v>2014</v>
      </c>
      <c r="L17" s="189">
        <v>2015</v>
      </c>
      <c r="M17" s="189">
        <v>2016</v>
      </c>
      <c r="N17" s="189">
        <v>2017</v>
      </c>
      <c r="O17" s="189">
        <v>2018</v>
      </c>
      <c r="P17" s="189">
        <v>2019</v>
      </c>
      <c r="Q17" s="189">
        <v>2020</v>
      </c>
      <c r="R17" s="189">
        <v>2021</v>
      </c>
      <c r="S17" s="189">
        <v>2022</v>
      </c>
      <c r="T17"/>
      <c r="U17"/>
      <c r="V17"/>
      <c r="W17"/>
    </row>
    <row r="18" spans="1:23" ht="15" x14ac:dyDescent="0.25">
      <c r="A18" s="142" t="s">
        <v>225</v>
      </c>
      <c r="B18" s="149">
        <f>'5C'!B38</f>
        <v>14.55</v>
      </c>
      <c r="C18" s="149">
        <f>'5C'!C38</f>
        <v>12.04</v>
      </c>
      <c r="D18" s="149">
        <f>'5C'!D38</f>
        <v>14.59</v>
      </c>
      <c r="E18" s="149">
        <f>'5C'!E38</f>
        <v>14.26</v>
      </c>
      <c r="F18" s="149">
        <f>'5C'!F38</f>
        <v>16.03</v>
      </c>
      <c r="G18" s="149">
        <f>'5C'!G38</f>
        <v>15.78</v>
      </c>
      <c r="H18" s="149">
        <f>'5C'!H38</f>
        <v>15.97</v>
      </c>
      <c r="I18" s="149">
        <f>'5C'!I38</f>
        <v>11.12</v>
      </c>
      <c r="J18" s="149">
        <f>'5C'!J38</f>
        <v>10.91</v>
      </c>
      <c r="K18" s="149">
        <f>'5C'!K38</f>
        <v>11.19</v>
      </c>
      <c r="L18" s="149">
        <f>'5C'!L38</f>
        <v>10.84</v>
      </c>
      <c r="M18" s="149">
        <f>'5C'!M38</f>
        <v>11.38</v>
      </c>
      <c r="N18" s="149">
        <f>'5C'!N38</f>
        <v>12.07</v>
      </c>
      <c r="O18" s="149">
        <f>'5C'!O38</f>
        <v>12.53</v>
      </c>
      <c r="P18" s="149">
        <f>'5C'!P38</f>
        <v>13.09</v>
      </c>
      <c r="Q18" s="149">
        <f>'5C'!Q38</f>
        <v>12.75</v>
      </c>
      <c r="R18" s="149">
        <f>'5C'!R38</f>
        <v>11.7</v>
      </c>
      <c r="S18" s="149">
        <f>'5C'!S38</f>
        <v>14.39</v>
      </c>
      <c r="T18"/>
      <c r="U18"/>
      <c r="V18"/>
      <c r="W18"/>
    </row>
    <row r="19" spans="1:23" ht="15" x14ac:dyDescent="0.25">
      <c r="A19" s="142" t="s">
        <v>226</v>
      </c>
      <c r="B19" s="149">
        <v>15.33</v>
      </c>
      <c r="C19" s="149">
        <v>21.09</v>
      </c>
      <c r="D19" s="149">
        <v>22.62</v>
      </c>
      <c r="E19" s="149">
        <v>23.41</v>
      </c>
      <c r="F19" s="149">
        <v>17.850000000000001</v>
      </c>
      <c r="G19" s="149">
        <v>17.2</v>
      </c>
      <c r="H19" s="149">
        <v>15.76</v>
      </c>
      <c r="I19" s="149">
        <v>11.16</v>
      </c>
      <c r="J19" s="149">
        <v>11.11</v>
      </c>
      <c r="K19" s="149">
        <v>11.2</v>
      </c>
      <c r="L19" s="149">
        <v>11.27</v>
      </c>
      <c r="M19" s="149">
        <v>12.13</v>
      </c>
      <c r="N19" s="149">
        <v>12.14</v>
      </c>
      <c r="O19" s="149">
        <v>13.42</v>
      </c>
      <c r="P19" s="149">
        <v>12.8</v>
      </c>
      <c r="Q19" s="149">
        <v>12.3</v>
      </c>
      <c r="R19" s="149">
        <v>14.44</v>
      </c>
      <c r="S19" s="218">
        <v>15.05</v>
      </c>
      <c r="T19"/>
      <c r="U19"/>
      <c r="V19"/>
      <c r="W19"/>
    </row>
    <row r="20" spans="1:23" ht="15" x14ac:dyDescent="0.25">
      <c r="A20" s="142" t="s">
        <v>227</v>
      </c>
      <c r="B20" s="149">
        <v>13.39</v>
      </c>
      <c r="C20" s="149">
        <v>13.51</v>
      </c>
      <c r="D20" s="149">
        <v>14.01</v>
      </c>
      <c r="E20" s="149">
        <v>14.58</v>
      </c>
      <c r="F20" s="149">
        <v>14.98</v>
      </c>
      <c r="G20" s="149">
        <v>14.2</v>
      </c>
      <c r="H20" s="149">
        <v>14.02</v>
      </c>
      <c r="I20" s="149">
        <v>12.7</v>
      </c>
      <c r="J20" s="149">
        <v>12.65</v>
      </c>
      <c r="K20" s="149">
        <v>12.91</v>
      </c>
      <c r="L20" s="149">
        <v>13.11</v>
      </c>
      <c r="M20" s="149">
        <v>13.52</v>
      </c>
      <c r="N20" s="149">
        <v>13.73</v>
      </c>
      <c r="O20" s="149">
        <v>13.88</v>
      </c>
      <c r="P20" s="149">
        <v>13.84</v>
      </c>
      <c r="Q20" s="149">
        <v>14.12</v>
      </c>
      <c r="R20" s="149">
        <v>14.47</v>
      </c>
      <c r="S20" s="218">
        <v>16.95</v>
      </c>
      <c r="T20"/>
      <c r="U20"/>
      <c r="V20"/>
      <c r="W20"/>
    </row>
    <row r="21" spans="1:23" ht="15" x14ac:dyDescent="0.25">
      <c r="B21" s="45"/>
      <c r="C21" s="45"/>
      <c r="D21" s="45"/>
      <c r="E21" s="45"/>
      <c r="F21" s="45"/>
      <c r="G21" s="45"/>
      <c r="H21" s="45"/>
      <c r="I21" s="45"/>
      <c r="J21" s="45"/>
      <c r="K21" s="45"/>
      <c r="L21" s="45"/>
      <c r="M21" s="45"/>
      <c r="N21" s="45"/>
      <c r="O21" s="45"/>
      <c r="P21" s="45"/>
      <c r="Q21" s="45"/>
      <c r="R21" s="45"/>
      <c r="S21" s="45"/>
      <c r="T21"/>
      <c r="U21"/>
      <c r="V21"/>
      <c r="W21"/>
    </row>
    <row r="22" spans="1:23" ht="15" x14ac:dyDescent="0.25">
      <c r="D22" s="1"/>
      <c r="K22" s="39"/>
      <c r="O22" s="1"/>
      <c r="T22"/>
      <c r="U22"/>
      <c r="V22"/>
      <c r="W22"/>
    </row>
    <row r="23" spans="1:23" ht="15.75" x14ac:dyDescent="0.25">
      <c r="A23" s="315" t="s">
        <v>332</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8" t="s">
        <v>188</v>
      </c>
      <c r="B24" s="189">
        <v>2005</v>
      </c>
      <c r="C24" s="189">
        <v>2006</v>
      </c>
      <c r="D24" s="189">
        <v>2007</v>
      </c>
      <c r="E24" s="189">
        <v>2008</v>
      </c>
      <c r="F24" s="189">
        <v>2009</v>
      </c>
      <c r="G24" s="189">
        <v>2010</v>
      </c>
      <c r="H24" s="189">
        <v>2011</v>
      </c>
      <c r="I24" s="189">
        <v>2012</v>
      </c>
      <c r="J24" s="189">
        <v>2013</v>
      </c>
      <c r="K24" s="189">
        <v>2014</v>
      </c>
      <c r="L24" s="189">
        <v>2015</v>
      </c>
      <c r="M24" s="189">
        <v>2016</v>
      </c>
      <c r="N24" s="189">
        <v>2017</v>
      </c>
      <c r="O24" s="189">
        <v>2018</v>
      </c>
      <c r="P24" s="189">
        <v>2019</v>
      </c>
      <c r="Q24" s="189">
        <v>2020</v>
      </c>
      <c r="R24" s="189">
        <v>2021</v>
      </c>
      <c r="S24" s="189">
        <v>2022</v>
      </c>
      <c r="T24"/>
      <c r="U24"/>
      <c r="V24"/>
      <c r="W24"/>
    </row>
    <row r="25" spans="1:23" ht="15" x14ac:dyDescent="0.25">
      <c r="A25" s="142" t="s">
        <v>231</v>
      </c>
      <c r="B25" s="169">
        <f>(B18-B18)/B18</f>
        <v>0</v>
      </c>
      <c r="C25" s="169">
        <f>(C18-B18)/B18</f>
        <v>-0.1725085910652922</v>
      </c>
      <c r="D25" s="169">
        <f>(D18-B18)/B18</f>
        <v>2.7491408934707316E-3</v>
      </c>
      <c r="E25" s="169">
        <f>(E18-B18)/B18</f>
        <v>-1.9931271477663291E-2</v>
      </c>
      <c r="F25" s="169">
        <f>(F18-B18)/B18</f>
        <v>0.10171821305841927</v>
      </c>
      <c r="G25" s="169">
        <f>(G18-B18)/B18</f>
        <v>8.4536082474226712E-2</v>
      </c>
      <c r="H25" s="169">
        <f>(H18-B18)/B18</f>
        <v>9.7594501718213045E-2</v>
      </c>
      <c r="I25" s="169">
        <f>(I18-B18)/B18</f>
        <v>-0.23573883161512035</v>
      </c>
      <c r="J25" s="169">
        <f>(J18-B18)/B18</f>
        <v>-0.25017182130584192</v>
      </c>
      <c r="K25" s="169">
        <f>(K18-B18)/B18</f>
        <v>-0.23092783505154646</v>
      </c>
      <c r="L25" s="169">
        <f>(L18-B18)/B18</f>
        <v>-0.25498281786941585</v>
      </c>
      <c r="M25" s="169">
        <f>(M18-B18)/B18</f>
        <v>-0.21786941580756011</v>
      </c>
      <c r="N25" s="169">
        <f>(N18-B18)/B18</f>
        <v>-0.17044673539518904</v>
      </c>
      <c r="O25" s="169">
        <f>(O18-B18)/B18</f>
        <v>-0.138831615120275</v>
      </c>
      <c r="P25" s="169">
        <f>(P18-B18)/B18</f>
        <v>-0.10034364261168391</v>
      </c>
      <c r="Q25" s="169">
        <f>(Q18-B18)/B18</f>
        <v>-0.12371134020618561</v>
      </c>
      <c r="R25" s="169">
        <f>(R18-B18)/B18</f>
        <v>-0.1958762886597939</v>
      </c>
      <c r="S25" s="169">
        <f>(S18-B18)/B18</f>
        <v>-1.0996563573883171E-2</v>
      </c>
      <c r="T25"/>
      <c r="U25"/>
      <c r="V25"/>
      <c r="W25"/>
    </row>
    <row r="26" spans="1:23" ht="15" x14ac:dyDescent="0.25">
      <c r="A26" s="142" t="s">
        <v>226</v>
      </c>
      <c r="B26" s="169">
        <f>(B19-B19)/B19</f>
        <v>0</v>
      </c>
      <c r="C26" s="169">
        <f>(C19-B19)/B19</f>
        <v>0.37573385518590996</v>
      </c>
      <c r="D26" s="169">
        <f>(D19-B19)/B19</f>
        <v>0.4755381604696674</v>
      </c>
      <c r="E26" s="169">
        <f>(E19-B19)/B19</f>
        <v>0.52707110241356814</v>
      </c>
      <c r="F26" s="169">
        <f>(F19-B19)/B19</f>
        <v>0.16438356164383569</v>
      </c>
      <c r="G26" s="169">
        <f>(G19-B19)/B19</f>
        <v>0.12198303979125892</v>
      </c>
      <c r="H26" s="169">
        <f>(H19-B19)/B19</f>
        <v>2.8049575994781455E-2</v>
      </c>
      <c r="I26" s="169">
        <f>(I19-B19)/B19</f>
        <v>-0.2720156555772994</v>
      </c>
      <c r="J26" s="169">
        <f>(J19-B19)/B19</f>
        <v>-0.27527723418134381</v>
      </c>
      <c r="K26" s="169">
        <f>(K19-B19)/B19</f>
        <v>-0.26940639269406397</v>
      </c>
      <c r="L26" s="169">
        <f>(L19-B19)/B19</f>
        <v>-0.26484018264840187</v>
      </c>
      <c r="M26" s="169">
        <f>(M19-B19)/B19</f>
        <v>-0.20874103065883884</v>
      </c>
      <c r="N26" s="169">
        <f>(N19-B19)/B19</f>
        <v>-0.20808871493802997</v>
      </c>
      <c r="O26" s="169">
        <f>(O19-B19)/B19</f>
        <v>-0.12459230267449446</v>
      </c>
      <c r="P26" s="169">
        <f>(P19-B19)/B19</f>
        <v>-0.16503587736464445</v>
      </c>
      <c r="Q26" s="169">
        <f>(Q19-B19)/B19</f>
        <v>-0.19765166340508802</v>
      </c>
      <c r="R26" s="169">
        <f>(R19-B19)/B19</f>
        <v>-5.8056099151989601E-2</v>
      </c>
      <c r="S26" s="169">
        <f>(S19-B19)/B19</f>
        <v>-1.8264840182648359E-2</v>
      </c>
      <c r="T26"/>
      <c r="U26"/>
      <c r="V26"/>
      <c r="W26"/>
    </row>
    <row r="27" spans="1:23" ht="15" x14ac:dyDescent="0.25">
      <c r="A27" s="142" t="s">
        <v>227</v>
      </c>
      <c r="B27" s="169">
        <f>(B20-B20)/B20</f>
        <v>0</v>
      </c>
      <c r="C27" s="169">
        <f>(C20-B20)/B20</f>
        <v>8.9619118745331745E-3</v>
      </c>
      <c r="D27" s="169">
        <f>(D20-B20)/B20</f>
        <v>4.6303211351754983E-2</v>
      </c>
      <c r="E27" s="169">
        <f>(E20-B20)/B20</f>
        <v>8.8872292755787854E-2</v>
      </c>
      <c r="F27" s="169">
        <f>(F20-B20)/B20</f>
        <v>0.11874533233756533</v>
      </c>
      <c r="G27" s="169">
        <f>(G20-B20)/B20</f>
        <v>6.0492905153099227E-2</v>
      </c>
      <c r="H27" s="169">
        <f>(H20-B20)/B20</f>
        <v>4.7050037341299401E-2</v>
      </c>
      <c r="I27" s="169">
        <f>(I20-B20)/B20</f>
        <v>-5.1530993278566188E-2</v>
      </c>
      <c r="J27" s="169">
        <f>(J20-B20)/B20</f>
        <v>-5.5265123226288286E-2</v>
      </c>
      <c r="K27" s="169">
        <f>(K20-B20)/B20</f>
        <v>-3.5847647498132969E-2</v>
      </c>
      <c r="L27" s="169">
        <f>(L20-B20)/B20</f>
        <v>-2.0911127707244296E-2</v>
      </c>
      <c r="M27" s="169">
        <f>(M20-B20)/B20</f>
        <v>9.7087378640775945E-3</v>
      </c>
      <c r="N27" s="169">
        <f>(N20-B20)/B20</f>
        <v>2.5392083644510816E-2</v>
      </c>
      <c r="O27" s="169">
        <f>(O20-B20)/B20</f>
        <v>3.6594473487677387E-2</v>
      </c>
      <c r="P27" s="169">
        <f>(P20-B20)/B20</f>
        <v>3.3607169529499575E-2</v>
      </c>
      <c r="Q27" s="169">
        <f>(Q20-B20)/B20</f>
        <v>5.4518297236743736E-2</v>
      </c>
      <c r="R27" s="169">
        <f>(R20-B20)/B20</f>
        <v>8.0657206870799109E-2</v>
      </c>
      <c r="S27" s="169">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C22" sqref="C22"/>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8"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333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267</v>
      </c>
      <c r="B4" s="320"/>
      <c r="C4" s="320"/>
      <c r="D4" s="320"/>
    </row>
    <row r="5" spans="1:27" ht="15" x14ac:dyDescent="0.25">
      <c r="A5" s="321" t="s">
        <v>208</v>
      </c>
      <c r="B5" s="322"/>
      <c r="C5" s="321" t="s">
        <v>209</v>
      </c>
      <c r="D5" s="321"/>
    </row>
    <row r="6" spans="1:27" x14ac:dyDescent="0.2">
      <c r="A6" s="153" t="s">
        <v>210</v>
      </c>
      <c r="B6" s="154" t="s">
        <v>194</v>
      </c>
      <c r="C6" s="153" t="s">
        <v>210</v>
      </c>
      <c r="D6" s="155" t="s">
        <v>194</v>
      </c>
    </row>
    <row r="7" spans="1:27" x14ac:dyDescent="0.2">
      <c r="A7" s="1" t="s">
        <v>334</v>
      </c>
      <c r="B7" s="156">
        <v>0.16289999999999999</v>
      </c>
      <c r="C7" s="1" t="s">
        <v>334</v>
      </c>
      <c r="D7" s="157">
        <v>0.17299999999999999</v>
      </c>
    </row>
    <row r="8" spans="1:27" x14ac:dyDescent="0.2">
      <c r="A8" s="1" t="s">
        <v>302</v>
      </c>
      <c r="B8" s="156">
        <v>0.12790000000000001</v>
      </c>
      <c r="C8" s="1" t="s">
        <v>216</v>
      </c>
      <c r="D8" s="157">
        <v>0.14774999999999999</v>
      </c>
    </row>
    <row r="9" spans="1:27" x14ac:dyDescent="0.2">
      <c r="A9" s="1" t="s">
        <v>213</v>
      </c>
      <c r="B9" s="156">
        <v>8.9300000000000004E-2</v>
      </c>
      <c r="C9" s="1" t="s">
        <v>302</v>
      </c>
      <c r="D9" s="157">
        <v>0.14099999999999999</v>
      </c>
    </row>
    <row r="10" spans="1:27" x14ac:dyDescent="0.2">
      <c r="A10" s="1" t="s">
        <v>216</v>
      </c>
      <c r="B10" s="156">
        <v>6.3E-2</v>
      </c>
      <c r="C10" s="1" t="s">
        <v>217</v>
      </c>
      <c r="D10" s="157">
        <v>0.13300000000000001</v>
      </c>
    </row>
    <row r="11" spans="1:27" x14ac:dyDescent="0.2">
      <c r="A11" s="1" t="s">
        <v>335</v>
      </c>
      <c r="B11" s="156">
        <v>6.3E-2</v>
      </c>
      <c r="C11" s="1" t="s">
        <v>213</v>
      </c>
      <c r="D11" s="157">
        <v>0.13</v>
      </c>
    </row>
    <row r="12" spans="1:27" x14ac:dyDescent="0.2">
      <c r="A12" s="1" t="s">
        <v>219</v>
      </c>
      <c r="B12" s="156">
        <v>0.06</v>
      </c>
      <c r="C12" s="1" t="s">
        <v>336</v>
      </c>
      <c r="D12" s="157">
        <v>6.0999999999999999E-2</v>
      </c>
    </row>
    <row r="13" spans="1:27" x14ac:dyDescent="0.2">
      <c r="A13" s="1" t="s">
        <v>214</v>
      </c>
      <c r="B13" s="156">
        <v>5.8700000000000002E-2</v>
      </c>
      <c r="C13" s="1" t="s">
        <v>214</v>
      </c>
      <c r="D13" s="157">
        <v>5.8000000000000003E-2</v>
      </c>
    </row>
    <row r="14" spans="1:27" x14ac:dyDescent="0.2">
      <c r="A14" s="1" t="s">
        <v>221</v>
      </c>
      <c r="B14" s="156">
        <v>5.6599999999999998E-2</v>
      </c>
      <c r="C14" s="1" t="s">
        <v>219</v>
      </c>
      <c r="D14" s="157">
        <v>5.57E-2</v>
      </c>
    </row>
    <row r="15" spans="1:27" x14ac:dyDescent="0.2">
      <c r="A15" s="1" t="s">
        <v>217</v>
      </c>
      <c r="B15" s="156">
        <v>5.1389999999999998E-2</v>
      </c>
      <c r="C15" s="1" t="s">
        <v>335</v>
      </c>
      <c r="D15" s="157">
        <v>5.024E-2</v>
      </c>
    </row>
    <row r="16" spans="1:27" x14ac:dyDescent="0.2">
      <c r="A16" s="1" t="s">
        <v>220</v>
      </c>
      <c r="B16" s="156">
        <v>5.0999999999999997E-2</v>
      </c>
      <c r="C16" s="1" t="s">
        <v>220</v>
      </c>
      <c r="D16" s="157">
        <v>4.8899999999999999E-2</v>
      </c>
    </row>
    <row r="18" spans="2:2" x14ac:dyDescent="0.2">
      <c r="B18" s="158"/>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B50" sqref="B50"/>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2" t="s">
        <v>68</v>
      </c>
      <c r="B1" s="262"/>
      <c r="C1" s="262"/>
      <c r="D1" s="262"/>
      <c r="E1" s="262"/>
      <c r="F1" s="262"/>
      <c r="G1" s="262"/>
      <c r="H1" s="262"/>
      <c r="I1" s="262"/>
      <c r="J1" s="262"/>
      <c r="K1" s="262"/>
      <c r="N1" s="39"/>
      <c r="O1" s="83"/>
      <c r="W1" s="83"/>
      <c r="AF1" s="83"/>
    </row>
    <row r="2" spans="1:32" s="84" customFormat="1" ht="23.25" x14ac:dyDescent="0.35">
      <c r="A2" s="13"/>
      <c r="B2" s="13"/>
      <c r="C2" s="13"/>
      <c r="D2" s="13"/>
      <c r="E2" s="13"/>
      <c r="F2" s="13"/>
      <c r="G2" s="13"/>
      <c r="H2" s="13"/>
      <c r="I2" s="13"/>
      <c r="J2" s="13"/>
      <c r="K2" s="13"/>
      <c r="N2" s="85"/>
    </row>
    <row r="3" spans="1:32" ht="18" x14ac:dyDescent="0.25">
      <c r="A3" s="14" t="s">
        <v>69</v>
      </c>
    </row>
    <row r="4" spans="1:32" ht="18" x14ac:dyDescent="0.25">
      <c r="A4" s="86"/>
    </row>
    <row r="5" spans="1:32" ht="15" x14ac:dyDescent="0.25">
      <c r="A5" s="87" t="s">
        <v>70</v>
      </c>
    </row>
    <row r="6" spans="1:32" ht="70.5" customHeight="1" x14ac:dyDescent="0.2">
      <c r="A6" s="272" t="s">
        <v>71</v>
      </c>
      <c r="B6" s="272"/>
      <c r="C6" s="272"/>
      <c r="D6" s="272"/>
    </row>
    <row r="8" spans="1:32" ht="15" x14ac:dyDescent="0.25">
      <c r="A8" s="87" t="s">
        <v>72</v>
      </c>
    </row>
    <row r="9" spans="1:32" ht="91.5" customHeight="1" x14ac:dyDescent="0.2">
      <c r="A9" s="272" t="s">
        <v>73</v>
      </c>
      <c r="B9" s="272"/>
      <c r="C9" s="272"/>
      <c r="D9" s="272"/>
    </row>
    <row r="10" spans="1:32" ht="15.75" customHeight="1" x14ac:dyDescent="0.2">
      <c r="A10" s="88"/>
      <c r="B10" s="88"/>
      <c r="C10" s="88"/>
      <c r="D10" s="88"/>
    </row>
    <row r="11" spans="1:32" ht="30.75" customHeight="1" x14ac:dyDescent="0.2">
      <c r="A11" s="272" t="s">
        <v>74</v>
      </c>
      <c r="B11" s="272"/>
      <c r="C11" s="272"/>
      <c r="D11" s="272"/>
    </row>
    <row r="12" spans="1:32" ht="15" thickBot="1" x14ac:dyDescent="0.25">
      <c r="A12" s="88"/>
      <c r="B12" s="88"/>
      <c r="C12" s="88"/>
      <c r="D12" s="88"/>
    </row>
    <row r="13" spans="1:32" ht="15.75" thickBot="1" x14ac:dyDescent="0.25">
      <c r="A13" s="269" t="s">
        <v>75</v>
      </c>
      <c r="B13" s="270"/>
    </row>
    <row r="14" spans="1:32" ht="15.75" thickBot="1" x14ac:dyDescent="0.25">
      <c r="A14" s="89" t="s">
        <v>76</v>
      </c>
      <c r="B14" s="90" t="s">
        <v>77</v>
      </c>
    </row>
    <row r="15" spans="1:32" ht="15" thickBot="1" x14ac:dyDescent="0.25">
      <c r="A15" s="91" t="s">
        <v>78</v>
      </c>
      <c r="B15" s="92" t="s">
        <v>79</v>
      </c>
    </row>
    <row r="16" spans="1:32" ht="29.25" thickBot="1" x14ac:dyDescent="0.25">
      <c r="A16" s="91" t="s">
        <v>80</v>
      </c>
      <c r="B16" s="92" t="s">
        <v>81</v>
      </c>
    </row>
    <row r="17" spans="1:4" ht="29.25" thickBot="1" x14ac:dyDescent="0.25">
      <c r="A17" s="91" t="s">
        <v>82</v>
      </c>
      <c r="B17" s="92" t="s">
        <v>83</v>
      </c>
    </row>
    <row r="18" spans="1:4" ht="15" thickBot="1" x14ac:dyDescent="0.25">
      <c r="A18" s="91" t="s">
        <v>84</v>
      </c>
      <c r="B18" s="92" t="s">
        <v>85</v>
      </c>
    </row>
    <row r="19" spans="1:4" ht="15" thickBot="1" x14ac:dyDescent="0.25">
      <c r="A19" s="91" t="s">
        <v>86</v>
      </c>
      <c r="B19" s="92" t="s">
        <v>87</v>
      </c>
    </row>
    <row r="20" spans="1:4" ht="29.25" thickBot="1" x14ac:dyDescent="0.25">
      <c r="A20" s="91" t="s">
        <v>88</v>
      </c>
      <c r="B20" s="92" t="s">
        <v>89</v>
      </c>
    </row>
    <row r="21" spans="1:4" ht="15" thickBot="1" x14ac:dyDescent="0.25">
      <c r="A21" s="91" t="s">
        <v>90</v>
      </c>
      <c r="B21" s="92" t="s">
        <v>91</v>
      </c>
    </row>
    <row r="22" spans="1:4" ht="15" thickBot="1" x14ac:dyDescent="0.25">
      <c r="A22" s="91" t="s">
        <v>92</v>
      </c>
      <c r="B22" s="92" t="s">
        <v>93</v>
      </c>
    </row>
    <row r="24" spans="1:4" ht="60" customHeight="1" x14ac:dyDescent="0.2">
      <c r="A24" s="271" t="s">
        <v>94</v>
      </c>
      <c r="B24" s="271"/>
      <c r="C24" s="271"/>
      <c r="D24" s="271"/>
    </row>
    <row r="25" spans="1:4" ht="15" x14ac:dyDescent="0.25">
      <c r="A25" s="93" t="s">
        <v>95</v>
      </c>
      <c r="B25" s="94" t="s">
        <v>96</v>
      </c>
      <c r="C25" s="94" t="s">
        <v>97</v>
      </c>
      <c r="D25" s="94" t="s">
        <v>98</v>
      </c>
    </row>
    <row r="26" spans="1:4" x14ac:dyDescent="0.2">
      <c r="A26" s="95" t="s">
        <v>52</v>
      </c>
      <c r="B26" s="96" t="s">
        <v>99</v>
      </c>
      <c r="C26" s="96" t="s">
        <v>42</v>
      </c>
      <c r="D26" s="96" t="s">
        <v>100</v>
      </c>
    </row>
    <row r="27" spans="1:4" x14ac:dyDescent="0.2">
      <c r="A27" s="95" t="s">
        <v>54</v>
      </c>
      <c r="B27" s="96" t="s">
        <v>99</v>
      </c>
      <c r="C27" s="96" t="s">
        <v>99</v>
      </c>
      <c r="D27" s="96" t="s">
        <v>100</v>
      </c>
    </row>
    <row r="28" spans="1:4" ht="47.25" customHeight="1" x14ac:dyDescent="0.2">
      <c r="A28" s="95" t="s">
        <v>56</v>
      </c>
      <c r="B28" s="96" t="s">
        <v>99</v>
      </c>
      <c r="C28" s="96" t="s">
        <v>99</v>
      </c>
      <c r="D28" s="96" t="s">
        <v>100</v>
      </c>
    </row>
    <row r="29" spans="1:4" x14ac:dyDescent="0.2">
      <c r="A29" s="95" t="s">
        <v>58</v>
      </c>
      <c r="B29" s="96" t="s">
        <v>99</v>
      </c>
      <c r="C29" s="96" t="s">
        <v>99</v>
      </c>
      <c r="D29" s="96" t="s">
        <v>100</v>
      </c>
    </row>
    <row r="30" spans="1:4" x14ac:dyDescent="0.2">
      <c r="A30" s="95" t="s">
        <v>62</v>
      </c>
      <c r="B30" s="96" t="s">
        <v>99</v>
      </c>
      <c r="C30" s="96" t="s">
        <v>42</v>
      </c>
      <c r="D30" s="96" t="s">
        <v>101</v>
      </c>
    </row>
    <row r="31" spans="1:4" x14ac:dyDescent="0.2">
      <c r="A31" s="95" t="s">
        <v>64</v>
      </c>
      <c r="B31" s="96" t="s">
        <v>99</v>
      </c>
      <c r="C31" s="96" t="s">
        <v>99</v>
      </c>
      <c r="D31" s="96" t="s">
        <v>42</v>
      </c>
    </row>
    <row r="32" spans="1:4" x14ac:dyDescent="0.2">
      <c r="A32" s="95" t="s">
        <v>65</v>
      </c>
      <c r="B32" s="96" t="s">
        <v>99</v>
      </c>
      <c r="C32" s="96" t="s">
        <v>99</v>
      </c>
      <c r="D32" s="96" t="s">
        <v>99</v>
      </c>
    </row>
    <row r="33" spans="1:4" x14ac:dyDescent="0.2">
      <c r="A33" s="95" t="s">
        <v>67</v>
      </c>
      <c r="B33" s="96" t="s">
        <v>99</v>
      </c>
      <c r="C33" s="96" t="s">
        <v>99</v>
      </c>
      <c r="D33" s="96" t="s">
        <v>102</v>
      </c>
    </row>
    <row r="35" spans="1:4" x14ac:dyDescent="0.2">
      <c r="A35" s="97" t="s">
        <v>103</v>
      </c>
    </row>
    <row r="36" spans="1:4" ht="15.75" thickBot="1" x14ac:dyDescent="0.3">
      <c r="A36" s="43" t="s">
        <v>104</v>
      </c>
    </row>
    <row r="37" spans="1:4" ht="30.75" thickBot="1" x14ac:dyDescent="0.25">
      <c r="A37" s="98" t="s">
        <v>105</v>
      </c>
      <c r="B37" s="99" t="s">
        <v>106</v>
      </c>
      <c r="C37" s="99" t="s">
        <v>97</v>
      </c>
      <c r="D37" s="100" t="s">
        <v>107</v>
      </c>
    </row>
    <row r="38" spans="1:4" ht="57.75" thickBot="1" x14ac:dyDescent="0.25">
      <c r="A38" s="101" t="s">
        <v>108</v>
      </c>
      <c r="B38" s="102" t="s">
        <v>109</v>
      </c>
      <c r="C38" s="102" t="s">
        <v>110</v>
      </c>
      <c r="D38" s="102" t="s">
        <v>111</v>
      </c>
    </row>
    <row r="39" spans="1:4" ht="43.5" thickBot="1" x14ac:dyDescent="0.25">
      <c r="A39" s="103" t="s">
        <v>112</v>
      </c>
      <c r="B39" s="102" t="s">
        <v>113</v>
      </c>
      <c r="C39" s="102" t="s">
        <v>111</v>
      </c>
      <c r="D39" s="102" t="s">
        <v>111</v>
      </c>
    </row>
    <row r="40" spans="1:4" ht="57.75" thickBot="1" x14ac:dyDescent="0.25">
      <c r="A40" s="103" t="s">
        <v>114</v>
      </c>
      <c r="B40" s="102" t="s">
        <v>115</v>
      </c>
      <c r="C40" s="102" t="s">
        <v>116</v>
      </c>
      <c r="D40" s="102" t="s">
        <v>79</v>
      </c>
    </row>
    <row r="41" spans="1:4" ht="15.75" thickBot="1" x14ac:dyDescent="0.25">
      <c r="A41" s="101" t="s">
        <v>117</v>
      </c>
      <c r="B41" s="102" t="s">
        <v>118</v>
      </c>
      <c r="C41" s="102" t="s">
        <v>119</v>
      </c>
      <c r="D41" s="102" t="s">
        <v>120</v>
      </c>
    </row>
    <row r="42" spans="1:4" ht="43.5" thickBot="1" x14ac:dyDescent="0.25">
      <c r="A42" s="101" t="s">
        <v>121</v>
      </c>
      <c r="B42" s="102" t="s">
        <v>122</v>
      </c>
      <c r="C42" s="102" t="s">
        <v>123</v>
      </c>
      <c r="D42" s="102" t="s">
        <v>123</v>
      </c>
    </row>
    <row r="43" spans="1:4" ht="57.75" thickBot="1" x14ac:dyDescent="0.25">
      <c r="A43" s="101" t="s">
        <v>124</v>
      </c>
      <c r="B43" s="102" t="s">
        <v>125</v>
      </c>
      <c r="C43" s="102" t="s">
        <v>126</v>
      </c>
      <c r="D43" s="102" t="s">
        <v>127</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S7" sqref="S7"/>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8"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337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2" t="s">
        <v>338</v>
      </c>
      <c r="B3" s="192"/>
      <c r="C3" s="192"/>
      <c r="D3" s="192"/>
      <c r="F3" s="320" t="s">
        <v>339</v>
      </c>
      <c r="G3" s="320"/>
      <c r="H3" s="320"/>
    </row>
    <row r="4" spans="1:27" ht="28.5" x14ac:dyDescent="0.2">
      <c r="A4" s="190" t="s">
        <v>235</v>
      </c>
      <c r="B4" s="190" t="s">
        <v>236</v>
      </c>
      <c r="C4" s="191" t="s">
        <v>237</v>
      </c>
      <c r="D4" s="1"/>
      <c r="F4" s="190" t="s">
        <v>238</v>
      </c>
      <c r="G4" s="191" t="s">
        <v>239</v>
      </c>
      <c r="H4" s="36" t="s">
        <v>240</v>
      </c>
      <c r="O4" s="1"/>
    </row>
    <row r="5" spans="1:27" ht="15" x14ac:dyDescent="0.25">
      <c r="A5" s="159">
        <v>43313</v>
      </c>
      <c r="B5">
        <v>0</v>
      </c>
      <c r="C5" s="217" t="s">
        <v>241</v>
      </c>
      <c r="D5" s="160"/>
      <c r="F5" s="1" t="s">
        <v>345</v>
      </c>
      <c r="G5" s="158">
        <v>9</v>
      </c>
      <c r="H5" s="202" t="s">
        <v>368</v>
      </c>
      <c r="O5" s="1"/>
    </row>
    <row r="6" spans="1:27" ht="15" x14ac:dyDescent="0.25">
      <c r="A6" s="159">
        <v>43344</v>
      </c>
      <c r="B6">
        <v>1</v>
      </c>
      <c r="C6" s="217" t="s">
        <v>241</v>
      </c>
      <c r="D6" s="160"/>
      <c r="F6" s="1" t="s">
        <v>361</v>
      </c>
      <c r="G6" s="158">
        <v>3</v>
      </c>
      <c r="H6" s="202" t="s">
        <v>350</v>
      </c>
      <c r="O6" s="1"/>
    </row>
    <row r="7" spans="1:27" ht="15" x14ac:dyDescent="0.25">
      <c r="A7" s="159">
        <v>43374</v>
      </c>
      <c r="B7">
        <v>1</v>
      </c>
      <c r="C7" s="217" t="s">
        <v>241</v>
      </c>
      <c r="D7" s="160"/>
      <c r="F7" s="1" t="s">
        <v>340</v>
      </c>
      <c r="G7" s="158">
        <v>2</v>
      </c>
      <c r="H7" s="202" t="s">
        <v>369</v>
      </c>
      <c r="O7" s="1"/>
    </row>
    <row r="8" spans="1:27" ht="15" x14ac:dyDescent="0.25">
      <c r="A8" s="159">
        <v>43405</v>
      </c>
      <c r="B8">
        <v>0</v>
      </c>
      <c r="C8" s="217" t="s">
        <v>241</v>
      </c>
      <c r="D8" s="160"/>
      <c r="F8" s="1" t="s">
        <v>362</v>
      </c>
      <c r="G8" s="158">
        <v>2</v>
      </c>
      <c r="H8" s="202" t="s">
        <v>243</v>
      </c>
      <c r="O8" s="1"/>
    </row>
    <row r="9" spans="1:27" ht="15" x14ac:dyDescent="0.25">
      <c r="A9" s="159">
        <v>43435</v>
      </c>
      <c r="B9">
        <v>0</v>
      </c>
      <c r="C9" s="217" t="s">
        <v>241</v>
      </c>
      <c r="D9" s="160"/>
      <c r="F9" s="1" t="s">
        <v>363</v>
      </c>
      <c r="G9" s="158">
        <v>2</v>
      </c>
      <c r="H9" s="202" t="s">
        <v>368</v>
      </c>
      <c r="O9" s="1"/>
    </row>
    <row r="10" spans="1:27" ht="15" x14ac:dyDescent="0.25">
      <c r="A10" s="159">
        <v>43466</v>
      </c>
      <c r="B10">
        <v>1</v>
      </c>
      <c r="C10" s="217" t="s">
        <v>241</v>
      </c>
      <c r="D10" s="160"/>
      <c r="F10" s="1" t="s">
        <v>346</v>
      </c>
      <c r="G10" s="158">
        <v>1</v>
      </c>
      <c r="H10" s="202" t="s">
        <v>243</v>
      </c>
      <c r="O10" s="1"/>
    </row>
    <row r="11" spans="1:27" ht="15" x14ac:dyDescent="0.25">
      <c r="A11" s="159">
        <v>43497</v>
      </c>
      <c r="B11">
        <v>1</v>
      </c>
      <c r="C11" s="217" t="s">
        <v>241</v>
      </c>
      <c r="D11" s="160"/>
      <c r="F11" s="1" t="s">
        <v>364</v>
      </c>
      <c r="G11" s="158">
        <v>1</v>
      </c>
      <c r="H11" s="202" t="s">
        <v>311</v>
      </c>
      <c r="O11" s="1"/>
    </row>
    <row r="12" spans="1:27" ht="15" x14ac:dyDescent="0.25">
      <c r="A12" s="159">
        <v>43525</v>
      </c>
      <c r="B12">
        <v>2</v>
      </c>
      <c r="C12" s="217" t="s">
        <v>241</v>
      </c>
      <c r="D12" s="160"/>
      <c r="F12" s="1" t="s">
        <v>365</v>
      </c>
      <c r="G12" s="158">
        <v>1</v>
      </c>
      <c r="H12" s="202" t="s">
        <v>243</v>
      </c>
      <c r="O12" s="1"/>
    </row>
    <row r="13" spans="1:27" ht="15" x14ac:dyDescent="0.25">
      <c r="A13" s="159">
        <v>43556</v>
      </c>
      <c r="B13">
        <v>3</v>
      </c>
      <c r="C13" s="217" t="s">
        <v>241</v>
      </c>
      <c r="D13" s="160"/>
      <c r="F13" s="1" t="s">
        <v>366</v>
      </c>
      <c r="G13" s="158">
        <v>1</v>
      </c>
      <c r="H13" s="202" t="s">
        <v>243</v>
      </c>
      <c r="O13" s="1"/>
    </row>
    <row r="14" spans="1:27" ht="15" x14ac:dyDescent="0.25">
      <c r="A14" s="159">
        <v>43586</v>
      </c>
      <c r="B14">
        <v>0</v>
      </c>
      <c r="C14" s="217" t="s">
        <v>241</v>
      </c>
      <c r="D14" s="160"/>
      <c r="F14" s="1" t="s">
        <v>367</v>
      </c>
      <c r="G14" s="158">
        <v>1</v>
      </c>
      <c r="H14" s="202" t="s">
        <v>243</v>
      </c>
      <c r="O14" s="1"/>
    </row>
    <row r="15" spans="1:27" ht="15" x14ac:dyDescent="0.25">
      <c r="A15" s="159">
        <v>43617</v>
      </c>
      <c r="B15">
        <v>5</v>
      </c>
      <c r="C15" s="217" t="s">
        <v>241</v>
      </c>
      <c r="D15" s="160"/>
      <c r="O15" s="1"/>
    </row>
    <row r="16" spans="1:27" ht="15" x14ac:dyDescent="0.25">
      <c r="A16" s="159">
        <v>43647</v>
      </c>
      <c r="B16">
        <v>0</v>
      </c>
      <c r="C16" s="217" t="s">
        <v>241</v>
      </c>
      <c r="D16" s="160"/>
      <c r="O16" s="1"/>
    </row>
    <row r="17" spans="1:15" ht="15" x14ac:dyDescent="0.25">
      <c r="A17" s="159">
        <v>43678</v>
      </c>
      <c r="B17">
        <v>5</v>
      </c>
      <c r="C17" s="217" t="s">
        <v>241</v>
      </c>
      <c r="D17" s="160"/>
      <c r="O17" s="1"/>
    </row>
    <row r="18" spans="1:15" ht="15" x14ac:dyDescent="0.25">
      <c r="A18" s="159">
        <v>43709</v>
      </c>
      <c r="B18">
        <v>0</v>
      </c>
      <c r="C18" s="217" t="s">
        <v>241</v>
      </c>
      <c r="D18" s="160"/>
      <c r="I18" s="38"/>
      <c r="O18" s="1"/>
    </row>
    <row r="19" spans="1:15" ht="15" x14ac:dyDescent="0.25">
      <c r="A19" s="159">
        <v>43739</v>
      </c>
      <c r="B19">
        <v>2</v>
      </c>
      <c r="C19" s="217" t="s">
        <v>241</v>
      </c>
      <c r="D19" s="160"/>
      <c r="I19" s="38"/>
      <c r="O19" s="1"/>
    </row>
    <row r="20" spans="1:15" ht="15" x14ac:dyDescent="0.25">
      <c r="A20" s="159">
        <v>43770</v>
      </c>
      <c r="B20">
        <v>2</v>
      </c>
      <c r="C20" s="217" t="s">
        <v>241</v>
      </c>
      <c r="D20" s="160"/>
      <c r="I20" s="38"/>
      <c r="O20" s="1"/>
    </row>
    <row r="21" spans="1:15" ht="15" x14ac:dyDescent="0.25">
      <c r="A21" s="159">
        <v>43800</v>
      </c>
      <c r="B21">
        <v>0</v>
      </c>
      <c r="C21" s="217" t="s">
        <v>241</v>
      </c>
      <c r="D21" s="160"/>
      <c r="I21" s="38"/>
      <c r="O21" s="1"/>
    </row>
    <row r="22" spans="1:15" ht="15" x14ac:dyDescent="0.25">
      <c r="A22" s="159">
        <v>43831</v>
      </c>
      <c r="B22">
        <v>0</v>
      </c>
      <c r="C22" s="217" t="s">
        <v>241</v>
      </c>
      <c r="D22" s="160"/>
      <c r="I22" s="38"/>
      <c r="O22" s="1"/>
    </row>
    <row r="23" spans="1:15" ht="15" x14ac:dyDescent="0.25">
      <c r="A23" s="159">
        <v>43862</v>
      </c>
      <c r="B23">
        <v>0</v>
      </c>
      <c r="C23" s="217" t="s">
        <v>241</v>
      </c>
      <c r="D23" s="160"/>
      <c r="O23" s="1"/>
    </row>
    <row r="24" spans="1:15" ht="15" x14ac:dyDescent="0.25">
      <c r="A24" s="159">
        <v>43891</v>
      </c>
      <c r="B24">
        <v>0</v>
      </c>
      <c r="C24" s="217" t="s">
        <v>241</v>
      </c>
      <c r="D24" s="160"/>
      <c r="O24" s="1"/>
    </row>
    <row r="25" spans="1:15" ht="15" x14ac:dyDescent="0.25">
      <c r="A25" s="159">
        <v>43922</v>
      </c>
      <c r="B25">
        <v>0</v>
      </c>
      <c r="C25" s="217" t="s">
        <v>241</v>
      </c>
      <c r="D25" s="160"/>
      <c r="O25" s="1"/>
    </row>
    <row r="26" spans="1:15" ht="15" x14ac:dyDescent="0.25">
      <c r="A26" s="159">
        <v>43952</v>
      </c>
      <c r="B26">
        <v>0</v>
      </c>
      <c r="C26" s="217" t="s">
        <v>241</v>
      </c>
      <c r="D26" s="160"/>
      <c r="O26" s="1"/>
    </row>
    <row r="27" spans="1:15" ht="15" x14ac:dyDescent="0.25">
      <c r="A27" s="159">
        <v>43983</v>
      </c>
      <c r="B27">
        <v>0</v>
      </c>
      <c r="C27" s="217" t="s">
        <v>241</v>
      </c>
      <c r="D27" s="160"/>
      <c r="O27" s="1"/>
    </row>
    <row r="28" spans="1:15" ht="15" x14ac:dyDescent="0.25">
      <c r="A28" s="159">
        <v>44013</v>
      </c>
      <c r="B28">
        <v>0</v>
      </c>
      <c r="C28" s="217" t="s">
        <v>241</v>
      </c>
      <c r="D28" s="160"/>
      <c r="O28" s="1"/>
    </row>
    <row r="29" spans="1:15" ht="15" x14ac:dyDescent="0.25">
      <c r="A29" s="159">
        <v>44044</v>
      </c>
      <c r="B29">
        <v>5</v>
      </c>
      <c r="C29" s="217" t="s">
        <v>241</v>
      </c>
      <c r="D29" s="160"/>
      <c r="O29" s="1"/>
    </row>
    <row r="30" spans="1:15" ht="15" x14ac:dyDescent="0.25">
      <c r="A30" s="159">
        <v>44075</v>
      </c>
      <c r="B30">
        <v>6</v>
      </c>
      <c r="C30" s="217" t="s">
        <v>241</v>
      </c>
      <c r="D30" s="160"/>
      <c r="O30" s="1"/>
    </row>
    <row r="31" spans="1:15" ht="15" x14ac:dyDescent="0.25">
      <c r="A31" s="159">
        <v>44105</v>
      </c>
      <c r="B31">
        <v>1</v>
      </c>
      <c r="C31" s="217" t="s">
        <v>241</v>
      </c>
      <c r="D31" s="160"/>
      <c r="O31" s="1"/>
    </row>
    <row r="32" spans="1:15" ht="15" x14ac:dyDescent="0.25">
      <c r="A32" s="159">
        <v>44136</v>
      </c>
      <c r="B32">
        <v>0</v>
      </c>
      <c r="C32" s="217" t="s">
        <v>241</v>
      </c>
      <c r="D32" s="160"/>
      <c r="O32" s="1"/>
    </row>
    <row r="33" spans="1:15" ht="15" x14ac:dyDescent="0.25">
      <c r="A33" s="159">
        <v>44166</v>
      </c>
      <c r="B33">
        <v>2</v>
      </c>
      <c r="C33" s="217" t="s">
        <v>241</v>
      </c>
      <c r="D33" s="160"/>
      <c r="O33" s="1"/>
    </row>
    <row r="34" spans="1:15" ht="15" x14ac:dyDescent="0.25">
      <c r="A34" s="159">
        <v>44197</v>
      </c>
      <c r="B34">
        <v>0</v>
      </c>
      <c r="C34" s="217" t="s">
        <v>241</v>
      </c>
      <c r="D34" s="160"/>
      <c r="O34" s="1"/>
    </row>
    <row r="35" spans="1:15" ht="15" x14ac:dyDescent="0.25">
      <c r="A35" s="159">
        <v>44228</v>
      </c>
      <c r="B35">
        <v>0</v>
      </c>
      <c r="C35" s="217" t="s">
        <v>241</v>
      </c>
      <c r="D35" s="160"/>
      <c r="O35" s="1"/>
    </row>
    <row r="36" spans="1:15" ht="15" x14ac:dyDescent="0.25">
      <c r="A36" s="159">
        <v>44256</v>
      </c>
      <c r="B36">
        <v>0</v>
      </c>
      <c r="C36" s="217" t="s">
        <v>241</v>
      </c>
      <c r="D36" s="160"/>
      <c r="O36" s="1"/>
    </row>
    <row r="37" spans="1:15" ht="15" x14ac:dyDescent="0.25">
      <c r="A37" s="159">
        <v>44287</v>
      </c>
      <c r="B37">
        <v>0</v>
      </c>
      <c r="C37" s="217" t="s">
        <v>241</v>
      </c>
      <c r="D37" s="160"/>
      <c r="O37" s="1"/>
    </row>
    <row r="38" spans="1:15" ht="15" x14ac:dyDescent="0.25">
      <c r="A38" s="159">
        <v>44317</v>
      </c>
      <c r="B38">
        <v>0</v>
      </c>
      <c r="C38" s="217" t="s">
        <v>241</v>
      </c>
      <c r="D38" s="160"/>
      <c r="O38" s="1"/>
    </row>
    <row r="39" spans="1:15" ht="15" x14ac:dyDescent="0.25">
      <c r="A39" s="159">
        <v>44348</v>
      </c>
      <c r="B39">
        <v>0</v>
      </c>
      <c r="C39" s="217" t="s">
        <v>241</v>
      </c>
      <c r="D39" s="160"/>
      <c r="O39" s="1"/>
    </row>
    <row r="40" spans="1:15" ht="15" x14ac:dyDescent="0.25">
      <c r="A40" s="159">
        <v>44378</v>
      </c>
      <c r="B40">
        <v>1</v>
      </c>
      <c r="C40" s="217" t="s">
        <v>241</v>
      </c>
      <c r="D40" s="160"/>
      <c r="O40" s="1"/>
    </row>
    <row r="41" spans="1:15" ht="15" x14ac:dyDescent="0.25">
      <c r="A41" s="159">
        <v>44409</v>
      </c>
      <c r="B41">
        <v>1</v>
      </c>
      <c r="C41" s="217" t="s">
        <v>241</v>
      </c>
      <c r="D41" s="160"/>
      <c r="O41" s="1"/>
    </row>
    <row r="42" spans="1:15" ht="15" x14ac:dyDescent="0.25">
      <c r="A42" s="159">
        <v>44440</v>
      </c>
      <c r="B42">
        <v>1</v>
      </c>
      <c r="C42" s="217" t="s">
        <v>241</v>
      </c>
      <c r="D42" s="160"/>
      <c r="O42" s="1"/>
    </row>
    <row r="43" spans="1:15" ht="15" x14ac:dyDescent="0.25">
      <c r="A43" s="159">
        <v>44470</v>
      </c>
      <c r="B43">
        <v>2</v>
      </c>
      <c r="C43" s="217" t="s">
        <v>241</v>
      </c>
      <c r="D43" s="160"/>
      <c r="O43" s="1"/>
    </row>
    <row r="44" spans="1:15" ht="15" x14ac:dyDescent="0.25">
      <c r="A44" s="159">
        <v>44501</v>
      </c>
      <c r="B44">
        <v>0</v>
      </c>
      <c r="C44" s="217" t="s">
        <v>241</v>
      </c>
      <c r="D44" s="160"/>
      <c r="O44" s="1"/>
    </row>
    <row r="45" spans="1:15" ht="15" x14ac:dyDescent="0.25">
      <c r="A45" s="159">
        <v>44531</v>
      </c>
      <c r="B45">
        <v>1</v>
      </c>
      <c r="C45" s="217" t="s">
        <v>241</v>
      </c>
      <c r="D45" s="160"/>
      <c r="O45" s="1"/>
    </row>
    <row r="46" spans="1:15" ht="15" x14ac:dyDescent="0.25">
      <c r="A46" s="159">
        <v>44562</v>
      </c>
      <c r="B46">
        <v>1</v>
      </c>
      <c r="C46" s="217" t="s">
        <v>241</v>
      </c>
      <c r="D46" s="160"/>
      <c r="O46" s="1"/>
    </row>
    <row r="47" spans="1:15" ht="15" x14ac:dyDescent="0.25">
      <c r="A47" s="159">
        <v>44593</v>
      </c>
      <c r="B47">
        <v>0</v>
      </c>
      <c r="C47" s="217" t="s">
        <v>241</v>
      </c>
      <c r="D47" s="160"/>
      <c r="O47" s="1"/>
    </row>
    <row r="48" spans="1:15" ht="15" x14ac:dyDescent="0.25">
      <c r="A48" s="159">
        <v>44621</v>
      </c>
      <c r="B48">
        <v>1</v>
      </c>
      <c r="C48" s="217" t="s">
        <v>241</v>
      </c>
      <c r="D48" s="160"/>
      <c r="O48" s="1"/>
    </row>
    <row r="49" spans="1:15" ht="15" x14ac:dyDescent="0.25">
      <c r="A49" s="159">
        <v>44652</v>
      </c>
      <c r="B49">
        <v>0</v>
      </c>
      <c r="C49" s="217" t="s">
        <v>241</v>
      </c>
      <c r="D49" s="160"/>
      <c r="O49" s="1"/>
    </row>
    <row r="50" spans="1:15" ht="15" x14ac:dyDescent="0.25">
      <c r="A50" s="159">
        <v>44682</v>
      </c>
      <c r="B50">
        <v>0</v>
      </c>
      <c r="C50" s="217" t="s">
        <v>241</v>
      </c>
      <c r="D50" s="160"/>
      <c r="O50" s="1"/>
    </row>
    <row r="51" spans="1:15" ht="15" x14ac:dyDescent="0.25">
      <c r="A51" s="159">
        <v>44713</v>
      </c>
      <c r="B51">
        <v>7</v>
      </c>
      <c r="C51" s="217" t="s">
        <v>241</v>
      </c>
      <c r="D51" s="160"/>
      <c r="O51" s="1"/>
    </row>
    <row r="52" spans="1:15" ht="15" x14ac:dyDescent="0.25">
      <c r="A52" s="159">
        <v>44743</v>
      </c>
      <c r="B52">
        <v>4</v>
      </c>
      <c r="C52" s="217" t="s">
        <v>241</v>
      </c>
      <c r="D52" s="160"/>
      <c r="O52" s="1"/>
    </row>
    <row r="53" spans="1:15" ht="15" x14ac:dyDescent="0.25">
      <c r="A53" s="159">
        <v>44774</v>
      </c>
      <c r="B53">
        <v>5</v>
      </c>
      <c r="C53" s="217" t="s">
        <v>241</v>
      </c>
      <c r="D53" s="160"/>
      <c r="O53" s="1"/>
    </row>
    <row r="54" spans="1:15" ht="15" x14ac:dyDescent="0.25">
      <c r="A54" s="159">
        <v>44805</v>
      </c>
      <c r="B54">
        <v>2</v>
      </c>
      <c r="C54" s="217" t="s">
        <v>241</v>
      </c>
      <c r="D54" s="160"/>
      <c r="O54" s="1"/>
    </row>
    <row r="55" spans="1:15" ht="15" x14ac:dyDescent="0.25">
      <c r="A55" s="159">
        <v>44835</v>
      </c>
      <c r="B55">
        <v>2</v>
      </c>
      <c r="C55" s="217" t="s">
        <v>241</v>
      </c>
      <c r="D55" s="160"/>
      <c r="O55" s="1"/>
    </row>
    <row r="56" spans="1:15" ht="15" x14ac:dyDescent="0.25">
      <c r="A56" s="159">
        <v>44866</v>
      </c>
      <c r="B56">
        <v>2</v>
      </c>
      <c r="C56" s="217" t="s">
        <v>241</v>
      </c>
      <c r="D56" s="160"/>
      <c r="O56" s="1"/>
    </row>
    <row r="57" spans="1:15" ht="15" x14ac:dyDescent="0.25">
      <c r="A57" s="159">
        <v>44896</v>
      </c>
      <c r="B57">
        <v>1</v>
      </c>
      <c r="C57" s="217" t="s">
        <v>241</v>
      </c>
      <c r="D57" s="160"/>
      <c r="O57" s="1"/>
    </row>
    <row r="58" spans="1:15" ht="15" x14ac:dyDescent="0.25">
      <c r="A58" s="159">
        <v>44927</v>
      </c>
      <c r="B58">
        <v>0</v>
      </c>
      <c r="C58" s="217" t="s">
        <v>241</v>
      </c>
      <c r="D58" s="160"/>
      <c r="O58" s="1"/>
    </row>
    <row r="59" spans="1:15" ht="15" x14ac:dyDescent="0.25">
      <c r="A59" s="159">
        <v>44958</v>
      </c>
      <c r="B59">
        <v>0</v>
      </c>
      <c r="C59" s="217" t="s">
        <v>241</v>
      </c>
      <c r="D59" s="160"/>
      <c r="O59" s="1"/>
    </row>
    <row r="60" spans="1:15" ht="15" x14ac:dyDescent="0.25">
      <c r="A60" s="159">
        <v>44986</v>
      </c>
      <c r="B60">
        <v>1</v>
      </c>
      <c r="C60" s="217" t="s">
        <v>241</v>
      </c>
      <c r="D60" s="160"/>
      <c r="O60" s="1"/>
    </row>
    <row r="61" spans="1:15" ht="15" x14ac:dyDescent="0.25">
      <c r="A61" s="159">
        <v>45017</v>
      </c>
      <c r="B61">
        <v>1</v>
      </c>
      <c r="C61" s="217" t="s">
        <v>241</v>
      </c>
      <c r="D61" s="160"/>
      <c r="O61" s="1"/>
    </row>
    <row r="62" spans="1:15" ht="15" x14ac:dyDescent="0.25">
      <c r="A62" s="159">
        <v>45047</v>
      </c>
      <c r="B62">
        <v>0</v>
      </c>
      <c r="C62" s="217" t="s">
        <v>241</v>
      </c>
      <c r="D62" s="160"/>
      <c r="O62" s="1"/>
    </row>
    <row r="63" spans="1:15" ht="15" x14ac:dyDescent="0.25">
      <c r="A63" s="159">
        <v>45078</v>
      </c>
      <c r="B63">
        <v>0</v>
      </c>
      <c r="C63" s="217" t="s">
        <v>241</v>
      </c>
      <c r="D63" s="1"/>
      <c r="O63" s="1"/>
    </row>
    <row r="64" spans="1:15" ht="15" x14ac:dyDescent="0.25">
      <c r="A64" s="159">
        <v>45108</v>
      </c>
      <c r="B64">
        <v>0</v>
      </c>
      <c r="C64" s="217" t="s">
        <v>241</v>
      </c>
      <c r="D64" s="1"/>
      <c r="O64" s="1"/>
    </row>
    <row r="65" spans="1:15" x14ac:dyDescent="0.2">
      <c r="A65" s="159"/>
      <c r="C65" s="81"/>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E17" sqref="E17"/>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8"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39"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3" customWidth="1"/>
    <col min="34" max="16384" width="9.140625" style="1"/>
  </cols>
  <sheetData>
    <row r="1" spans="1:25" ht="23.25" x14ac:dyDescent="0.35">
      <c r="A1" s="262" t="s">
        <v>341</v>
      </c>
      <c r="B1" s="262"/>
      <c r="C1" s="262"/>
      <c r="D1" s="262"/>
      <c r="E1" s="262"/>
      <c r="F1" s="262"/>
      <c r="G1" s="262"/>
      <c r="H1" s="262"/>
      <c r="I1" s="262"/>
      <c r="J1" s="262"/>
      <c r="K1" s="262"/>
      <c r="L1" s="262"/>
      <c r="M1" s="262"/>
      <c r="N1" s="262"/>
      <c r="O1" s="262"/>
      <c r="P1" s="262"/>
      <c r="Q1" s="262"/>
      <c r="R1" s="262"/>
      <c r="S1" s="262"/>
      <c r="T1" s="262"/>
      <c r="U1" s="262"/>
      <c r="V1" s="262"/>
      <c r="W1" s="262"/>
      <c r="X1" s="262"/>
      <c r="Y1" s="262"/>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topLeftCell="B16" zoomScaleNormal="100" workbookViewId="0">
      <selection activeCell="E46" sqref="E46"/>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8"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39"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2" t="s">
        <v>128</v>
      </c>
      <c r="B1" s="262"/>
      <c r="C1" s="262"/>
      <c r="D1" s="262"/>
      <c r="E1" s="262"/>
      <c r="F1" s="262"/>
      <c r="G1" s="262"/>
      <c r="H1" s="262"/>
      <c r="I1" s="262"/>
      <c r="J1" s="262"/>
      <c r="K1" s="262"/>
      <c r="L1" s="262"/>
      <c r="M1" s="262"/>
      <c r="N1" s="262"/>
      <c r="O1" s="262"/>
      <c r="P1" s="262"/>
      <c r="Q1" s="262"/>
      <c r="R1" s="262"/>
    </row>
    <row r="2" spans="1:28" ht="15" thickBot="1" x14ac:dyDescent="0.25">
      <c r="B2" s="37"/>
      <c r="C2" s="37"/>
      <c r="P2" s="1"/>
      <c r="Q2" s="39"/>
    </row>
    <row r="3" spans="1:28" ht="12.75" customHeight="1" thickBot="1" x14ac:dyDescent="0.25">
      <c r="A3" s="299" t="s">
        <v>29</v>
      </c>
      <c r="B3" s="260" t="s">
        <v>30</v>
      </c>
      <c r="C3" s="261"/>
      <c r="D3" s="297" t="s">
        <v>31</v>
      </c>
      <c r="E3" s="298"/>
      <c r="F3" s="211" t="s">
        <v>33</v>
      </c>
      <c r="G3" s="210" t="s">
        <v>33</v>
      </c>
      <c r="H3" s="210" t="s">
        <v>33</v>
      </c>
      <c r="I3" s="303" t="s">
        <v>33</v>
      </c>
      <c r="J3" s="303"/>
      <c r="K3" s="303" t="s">
        <v>34</v>
      </c>
      <c r="L3" s="303"/>
      <c r="M3" s="210" t="s">
        <v>35</v>
      </c>
      <c r="N3" s="210" t="s">
        <v>35</v>
      </c>
      <c r="O3" s="212" t="s">
        <v>35</v>
      </c>
      <c r="P3" s="1"/>
      <c r="Q3" s="39"/>
      <c r="W3" s="273" t="s">
        <v>52</v>
      </c>
      <c r="X3" s="273"/>
      <c r="Y3" s="273"/>
      <c r="Z3" s="273"/>
      <c r="AA3" s="273"/>
      <c r="AB3" s="273"/>
    </row>
    <row r="4" spans="1:28" ht="14.45" customHeight="1" thickBot="1" x14ac:dyDescent="0.3">
      <c r="A4" s="300"/>
      <c r="B4" s="251" t="s">
        <v>37</v>
      </c>
      <c r="C4" s="253" t="s">
        <v>38</v>
      </c>
      <c r="D4" s="290" t="s">
        <v>37</v>
      </c>
      <c r="E4" s="292" t="s">
        <v>38</v>
      </c>
      <c r="F4" s="310" t="s">
        <v>39</v>
      </c>
      <c r="G4" s="308" t="s">
        <v>40</v>
      </c>
      <c r="H4" s="308" t="s">
        <v>41</v>
      </c>
      <c r="I4" s="304" t="s">
        <v>129</v>
      </c>
      <c r="J4" s="305"/>
      <c r="K4" s="304" t="s">
        <v>43</v>
      </c>
      <c r="L4" s="305"/>
      <c r="M4" s="312" t="s">
        <v>44</v>
      </c>
      <c r="N4" s="312" t="s">
        <v>45</v>
      </c>
      <c r="O4" s="306" t="s">
        <v>46</v>
      </c>
      <c r="P4" s="1"/>
      <c r="Q4" s="39"/>
      <c r="U4" s="1" t="s">
        <v>130</v>
      </c>
      <c r="V4" s="43" t="s">
        <v>131</v>
      </c>
      <c r="W4" s="43" t="s">
        <v>48</v>
      </c>
      <c r="X4" s="43" t="s">
        <v>50</v>
      </c>
      <c r="Y4" s="43" t="s">
        <v>132</v>
      </c>
      <c r="Z4" s="43" t="s">
        <v>133</v>
      </c>
      <c r="AA4" s="43" t="s">
        <v>134</v>
      </c>
    </row>
    <row r="5" spans="1:28" ht="27" customHeight="1" thickBot="1" x14ac:dyDescent="0.25">
      <c r="A5" s="301"/>
      <c r="B5" s="302"/>
      <c r="C5" s="289"/>
      <c r="D5" s="291"/>
      <c r="E5" s="293"/>
      <c r="F5" s="311"/>
      <c r="G5" s="309"/>
      <c r="H5" s="309"/>
      <c r="I5" s="44" t="s">
        <v>48</v>
      </c>
      <c r="J5" s="44" t="s">
        <v>49</v>
      </c>
      <c r="K5" s="206" t="s">
        <v>50</v>
      </c>
      <c r="L5" s="206" t="s">
        <v>51</v>
      </c>
      <c r="M5" s="313"/>
      <c r="N5" s="313"/>
      <c r="O5" s="307"/>
      <c r="P5" s="1"/>
      <c r="Q5" s="39"/>
      <c r="U5" s="1">
        <v>0</v>
      </c>
      <c r="V5" s="45">
        <f>H6</f>
        <v>22.07415120295061</v>
      </c>
      <c r="W5" s="45">
        <f>I6</f>
        <v>27.627023809523809</v>
      </c>
      <c r="X5" s="45">
        <f>K6</f>
        <v>30.389726190476193</v>
      </c>
      <c r="Y5" s="45">
        <f>M6</f>
        <v>33.428698809523816</v>
      </c>
      <c r="Z5" s="45">
        <f>N6</f>
        <v>36.771568690476201</v>
      </c>
      <c r="AA5" s="45">
        <f>O6</f>
        <v>40.448725559523822</v>
      </c>
    </row>
    <row r="6" spans="1:28" x14ac:dyDescent="0.2">
      <c r="A6" s="46" t="s">
        <v>52</v>
      </c>
      <c r="B6" s="47">
        <f>'1A'!B11</f>
        <v>14.6</v>
      </c>
      <c r="C6" s="48">
        <f>'1A'!C11</f>
        <v>30368</v>
      </c>
      <c r="D6" s="49">
        <f>'1A'!D11</f>
        <v>27.627023809523809</v>
      </c>
      <c r="E6" s="140">
        <f>'1A'!E11</f>
        <v>57464.209523809521</v>
      </c>
      <c r="F6" s="50">
        <f>'1A'!F11</f>
        <v>22.07415120295061</v>
      </c>
      <c r="G6" s="51">
        <f>'1A'!G11</f>
        <v>22.07415120295061</v>
      </c>
      <c r="H6" s="51">
        <f>'1A'!H11</f>
        <v>22.07415120295061</v>
      </c>
      <c r="I6" s="52">
        <f>'1A'!I11</f>
        <v>27.627023809523809</v>
      </c>
      <c r="J6" s="53">
        <f>'1A'!J11</f>
        <v>29.008375000000001</v>
      </c>
      <c r="K6" s="52">
        <f>'1A'!K11</f>
        <v>30.389726190476193</v>
      </c>
      <c r="L6" s="52">
        <f>'1A'!L11</f>
        <v>31.909212500000002</v>
      </c>
      <c r="M6" s="52">
        <f>'1A'!M11</f>
        <v>33.428698809523816</v>
      </c>
      <c r="N6" s="52">
        <f>'1A'!N11</f>
        <v>36.771568690476201</v>
      </c>
      <c r="O6" s="52">
        <f>'1A'!O11</f>
        <v>40.448725559523822</v>
      </c>
      <c r="P6" s="45"/>
      <c r="Q6" s="157"/>
      <c r="U6" s="1">
        <v>1</v>
      </c>
      <c r="V6" s="45">
        <f t="shared" ref="V6:V25" si="0">V5*1.025</f>
        <v>22.626004983024373</v>
      </c>
      <c r="W6" s="45">
        <f t="shared" ref="W6:W25" si="1">W5*1.025</f>
        <v>28.317699404761903</v>
      </c>
      <c r="X6" s="45">
        <f t="shared" ref="X6:X25" si="2">X5*1.025</f>
        <v>31.149469345238096</v>
      </c>
      <c r="Y6" s="45">
        <f t="shared" ref="Y6:Y25" si="3">Y5*1.025</f>
        <v>34.26441627976191</v>
      </c>
      <c r="Z6" s="45">
        <f t="shared" ref="Z6:Z25" si="4">Z5*1.025</f>
        <v>37.690857907738099</v>
      </c>
      <c r="AA6" s="45">
        <f t="shared" ref="AA6:AA25" si="5">AA5*1.025</f>
        <v>41.459943698511914</v>
      </c>
    </row>
    <row r="7" spans="1:28" x14ac:dyDescent="0.2">
      <c r="A7" s="286" t="s">
        <v>135</v>
      </c>
      <c r="B7" s="287"/>
      <c r="C7" s="287"/>
      <c r="D7" s="287"/>
      <c r="E7" s="287"/>
      <c r="F7" s="287"/>
      <c r="G7" s="287"/>
      <c r="H7" s="288"/>
      <c r="I7" s="54">
        <f>I6-H6</f>
        <v>5.5528726065731995</v>
      </c>
      <c r="J7" s="54">
        <f t="shared" ref="J7:O7" si="6">J6-I6</f>
        <v>1.3813511904761917</v>
      </c>
      <c r="K7" s="54">
        <f t="shared" si="6"/>
        <v>1.3813511904761917</v>
      </c>
      <c r="L7" s="54">
        <f>L6-K6</f>
        <v>1.5194863095238098</v>
      </c>
      <c r="M7" s="54">
        <f t="shared" si="6"/>
        <v>1.5194863095238134</v>
      </c>
      <c r="N7" s="54">
        <f t="shared" si="6"/>
        <v>3.3428698809523851</v>
      </c>
      <c r="O7" s="54">
        <f t="shared" si="6"/>
        <v>3.6771568690476215</v>
      </c>
      <c r="P7" s="1"/>
      <c r="U7" s="1">
        <v>2</v>
      </c>
      <c r="V7" s="45">
        <f t="shared" si="0"/>
        <v>23.191655107599981</v>
      </c>
      <c r="W7" s="45">
        <f t="shared" si="1"/>
        <v>29.025641889880948</v>
      </c>
      <c r="X7" s="45">
        <f t="shared" si="2"/>
        <v>31.928206078869046</v>
      </c>
      <c r="Y7" s="45">
        <f t="shared" si="3"/>
        <v>35.121026686755954</v>
      </c>
      <c r="Z7" s="45">
        <f t="shared" si="4"/>
        <v>38.633129355431549</v>
      </c>
      <c r="AA7" s="45">
        <f t="shared" si="5"/>
        <v>42.496442290974706</v>
      </c>
    </row>
    <row r="8" spans="1:28" x14ac:dyDescent="0.2">
      <c r="A8" s="55" t="s">
        <v>62</v>
      </c>
      <c r="B8" s="56">
        <f>'1A'!B19</f>
        <v>14.6</v>
      </c>
      <c r="C8" s="57">
        <f>'1A'!C19</f>
        <v>30368</v>
      </c>
      <c r="D8" s="56">
        <f>'1A'!D19</f>
        <v>25.115476190476187</v>
      </c>
      <c r="E8" s="57">
        <f>'1A'!E19</f>
        <v>52240.190476190466</v>
      </c>
      <c r="F8" s="58">
        <f>'1A'!F19</f>
        <v>20.067410184500556</v>
      </c>
      <c r="G8" s="59">
        <f>'1A'!G19</f>
        <v>20.067410184500556</v>
      </c>
      <c r="H8" s="59">
        <f>'1A'!H19</f>
        <v>20.067410184500556</v>
      </c>
      <c r="I8" s="60">
        <f>'1A'!I19</f>
        <v>25.115476190476187</v>
      </c>
      <c r="J8" s="60">
        <f>'1A'!J19</f>
        <v>26.371249999999996</v>
      </c>
      <c r="K8" s="60">
        <f>'1A'!K19</f>
        <v>27.627023809523809</v>
      </c>
      <c r="L8" s="60">
        <f>'1A'!L19</f>
        <v>29.008375000000001</v>
      </c>
      <c r="M8" s="60">
        <f>'1A'!M19</f>
        <v>30.389726190476193</v>
      </c>
      <c r="N8" s="60">
        <f>'1A'!N19</f>
        <v>33.428698809523816</v>
      </c>
      <c r="O8" s="61">
        <f>'1A'!O19</f>
        <v>36.771568690476201</v>
      </c>
      <c r="P8" s="1"/>
      <c r="U8" s="1">
        <v>3</v>
      </c>
      <c r="V8" s="45">
        <f t="shared" si="0"/>
        <v>23.771446485289978</v>
      </c>
      <c r="W8" s="45">
        <f t="shared" si="1"/>
        <v>29.751282937127968</v>
      </c>
      <c r="X8" s="45">
        <f t="shared" si="2"/>
        <v>32.726411230840768</v>
      </c>
      <c r="Y8" s="45">
        <f t="shared" si="3"/>
        <v>35.999052353924853</v>
      </c>
      <c r="Z8" s="45">
        <f t="shared" si="4"/>
        <v>39.598957589317337</v>
      </c>
      <c r="AA8" s="45">
        <f t="shared" si="5"/>
        <v>43.558853348249066</v>
      </c>
    </row>
    <row r="9" spans="1:28" x14ac:dyDescent="0.2">
      <c r="A9" s="286" t="s">
        <v>135</v>
      </c>
      <c r="B9" s="287"/>
      <c r="C9" s="287"/>
      <c r="D9" s="287"/>
      <c r="E9" s="287"/>
      <c r="F9" s="287"/>
      <c r="G9" s="287"/>
      <c r="H9" s="288"/>
      <c r="I9" s="54">
        <f>I8-H8</f>
        <v>5.048066005975631</v>
      </c>
      <c r="J9" s="54">
        <f t="shared" ref="J9:O9" si="7">J8-I8</f>
        <v>1.2557738095238093</v>
      </c>
      <c r="K9" s="54">
        <f t="shared" si="7"/>
        <v>1.2557738095238129</v>
      </c>
      <c r="L9" s="54">
        <f>L8-K8</f>
        <v>1.3813511904761917</v>
      </c>
      <c r="M9" s="54">
        <f>M8-L8</f>
        <v>1.3813511904761917</v>
      </c>
      <c r="N9" s="54">
        <f t="shared" si="7"/>
        <v>3.0389726190476232</v>
      </c>
      <c r="O9" s="54">
        <f t="shared" si="7"/>
        <v>3.3428698809523851</v>
      </c>
      <c r="P9" s="1"/>
      <c r="U9" s="1">
        <v>4</v>
      </c>
      <c r="V9" s="45">
        <f t="shared" si="0"/>
        <v>24.365732647422224</v>
      </c>
      <c r="W9" s="45">
        <f t="shared" si="1"/>
        <v>30.495065010556164</v>
      </c>
      <c r="X9" s="45">
        <f t="shared" si="2"/>
        <v>33.544571511611785</v>
      </c>
      <c r="Y9" s="45">
        <f t="shared" si="3"/>
        <v>36.89902866277297</v>
      </c>
      <c r="Z9" s="45">
        <f t="shared" si="4"/>
        <v>40.588931529050264</v>
      </c>
      <c r="AA9" s="45">
        <f t="shared" si="5"/>
        <v>44.647824681955292</v>
      </c>
    </row>
    <row r="10" spans="1:28" x14ac:dyDescent="0.2">
      <c r="P10" s="1"/>
      <c r="Q10" s="39"/>
      <c r="U10" s="1">
        <v>5</v>
      </c>
      <c r="V10" s="45">
        <f t="shared" si="0"/>
        <v>24.974875963607776</v>
      </c>
      <c r="W10" s="45">
        <f t="shared" si="1"/>
        <v>31.257441635820065</v>
      </c>
      <c r="X10" s="45">
        <f t="shared" si="2"/>
        <v>34.383185799402078</v>
      </c>
      <c r="Y10" s="45">
        <f t="shared" si="3"/>
        <v>37.821504379342294</v>
      </c>
      <c r="Z10" s="45">
        <f t="shared" si="4"/>
        <v>41.603654817276514</v>
      </c>
      <c r="AA10" s="45">
        <f t="shared" si="5"/>
        <v>45.764020299004173</v>
      </c>
    </row>
    <row r="11" spans="1:28" x14ac:dyDescent="0.2">
      <c r="P11" s="1"/>
      <c r="Q11" s="39"/>
      <c r="U11" s="1">
        <v>6</v>
      </c>
      <c r="V11" s="45">
        <f t="shared" si="0"/>
        <v>25.599247862697968</v>
      </c>
      <c r="W11" s="45">
        <f t="shared" si="1"/>
        <v>32.038877676715565</v>
      </c>
      <c r="X11" s="45">
        <f t="shared" si="2"/>
        <v>35.242765444387125</v>
      </c>
      <c r="Y11" s="45">
        <f t="shared" si="3"/>
        <v>38.767041988825845</v>
      </c>
      <c r="Z11" s="45">
        <f t="shared" si="4"/>
        <v>42.643746187708423</v>
      </c>
      <c r="AA11" s="45">
        <f t="shared" si="5"/>
        <v>46.908120806479275</v>
      </c>
    </row>
    <row r="12" spans="1:28" x14ac:dyDescent="0.2">
      <c r="P12" s="1"/>
      <c r="Q12" s="39"/>
      <c r="U12" s="1">
        <v>7</v>
      </c>
      <c r="V12" s="45">
        <f t="shared" si="0"/>
        <v>26.239229059265416</v>
      </c>
      <c r="W12" s="45">
        <f t="shared" si="1"/>
        <v>32.839849618633451</v>
      </c>
      <c r="X12" s="45">
        <f t="shared" si="2"/>
        <v>36.123834580496798</v>
      </c>
      <c r="Y12" s="45">
        <f t="shared" si="3"/>
        <v>39.73621803854649</v>
      </c>
      <c r="Z12" s="45">
        <f t="shared" si="4"/>
        <v>43.709839842401131</v>
      </c>
      <c r="AA12" s="45">
        <f t="shared" si="5"/>
        <v>48.08082382664125</v>
      </c>
    </row>
    <row r="13" spans="1:28" x14ac:dyDescent="0.2">
      <c r="P13" s="1"/>
      <c r="Q13" s="39"/>
      <c r="U13" s="1">
        <v>8</v>
      </c>
      <c r="V13" s="45">
        <f t="shared" si="0"/>
        <v>26.895209785747049</v>
      </c>
      <c r="W13" s="45">
        <f t="shared" si="1"/>
        <v>33.660845859099283</v>
      </c>
      <c r="X13" s="45">
        <f t="shared" si="2"/>
        <v>37.026930445009214</v>
      </c>
      <c r="Y13" s="45">
        <f t="shared" si="3"/>
        <v>40.729623489510146</v>
      </c>
      <c r="Z13" s="45">
        <f t="shared" si="4"/>
        <v>44.802585838461155</v>
      </c>
      <c r="AA13" s="45">
        <f t="shared" si="5"/>
        <v>49.282844422307278</v>
      </c>
    </row>
    <row r="14" spans="1:28" ht="16.5" thickBot="1" x14ac:dyDescent="0.3">
      <c r="A14" s="28" t="s">
        <v>136</v>
      </c>
      <c r="B14" s="28"/>
      <c r="C14" s="28"/>
      <c r="D14" s="28"/>
      <c r="E14" s="28"/>
      <c r="F14" s="28"/>
      <c r="G14" s="28"/>
      <c r="H14" s="28"/>
      <c r="I14" s="28"/>
      <c r="J14" s="28"/>
      <c r="K14" s="28"/>
      <c r="L14" s="28"/>
      <c r="M14" s="28"/>
      <c r="N14" s="28"/>
      <c r="O14" s="28"/>
      <c r="P14" s="28"/>
      <c r="Q14" s="28"/>
      <c r="R14" s="28"/>
      <c r="S14" s="28"/>
      <c r="T14" s="28"/>
      <c r="U14" s="1">
        <v>9</v>
      </c>
      <c r="V14" s="45">
        <f t="shared" si="0"/>
        <v>27.567590030390722</v>
      </c>
      <c r="W14" s="45">
        <f t="shared" si="1"/>
        <v>34.502367005576758</v>
      </c>
      <c r="X14" s="45">
        <f t="shared" si="2"/>
        <v>37.95260370613444</v>
      </c>
      <c r="Y14" s="45">
        <f t="shared" si="3"/>
        <v>41.747864076747895</v>
      </c>
      <c r="Z14" s="45">
        <f t="shared" si="4"/>
        <v>45.922650484422682</v>
      </c>
      <c r="AA14" s="45">
        <f t="shared" si="5"/>
        <v>50.514915532864954</v>
      </c>
    </row>
    <row r="15" spans="1:28"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2"/>
      <c r="U15" s="1">
        <v>10</v>
      </c>
      <c r="V15" s="45">
        <f t="shared" si="0"/>
        <v>28.256779781150488</v>
      </c>
      <c r="W15" s="45">
        <f t="shared" si="1"/>
        <v>35.364926180716175</v>
      </c>
      <c r="X15" s="45">
        <f t="shared" si="2"/>
        <v>38.901418798787795</v>
      </c>
      <c r="Y15" s="45">
        <f t="shared" si="3"/>
        <v>42.791560678666592</v>
      </c>
      <c r="Z15" s="45">
        <f t="shared" si="4"/>
        <v>47.070716746533243</v>
      </c>
      <c r="AA15" s="45">
        <f t="shared" si="5"/>
        <v>51.777788421186571</v>
      </c>
    </row>
    <row r="16" spans="1:28"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3"/>
      <c r="U16" s="1">
        <v>11</v>
      </c>
      <c r="V16" s="45">
        <f t="shared" si="0"/>
        <v>28.963199275679248</v>
      </c>
      <c r="W16" s="45">
        <f t="shared" si="1"/>
        <v>36.249049335234076</v>
      </c>
      <c r="X16" s="45">
        <f t="shared" si="2"/>
        <v>39.873954268757487</v>
      </c>
      <c r="Y16" s="45">
        <f t="shared" si="3"/>
        <v>43.861349695633251</v>
      </c>
      <c r="Z16" s="45">
        <f t="shared" si="4"/>
        <v>48.247484665196573</v>
      </c>
      <c r="AA16" s="45">
        <f t="shared" si="5"/>
        <v>53.072233131716231</v>
      </c>
    </row>
    <row r="17" spans="1:27" ht="15" thickBot="1" x14ac:dyDescent="0.25">
      <c r="A17" s="276"/>
      <c r="B17" s="64" t="s">
        <v>141</v>
      </c>
      <c r="C17" s="65" t="s">
        <v>142</v>
      </c>
      <c r="D17" s="65" t="s">
        <v>143</v>
      </c>
      <c r="E17" s="66" t="s">
        <v>141</v>
      </c>
      <c r="F17" s="67" t="s">
        <v>142</v>
      </c>
      <c r="G17" s="68" t="s">
        <v>143</v>
      </c>
      <c r="H17" s="65" t="s">
        <v>141</v>
      </c>
      <c r="I17" s="65" t="s">
        <v>142</v>
      </c>
      <c r="J17" s="69" t="s">
        <v>143</v>
      </c>
      <c r="K17" s="64" t="s">
        <v>141</v>
      </c>
      <c r="L17" s="65" t="s">
        <v>142</v>
      </c>
      <c r="M17" s="69" t="s">
        <v>143</v>
      </c>
      <c r="N17" s="64" t="s">
        <v>141</v>
      </c>
      <c r="O17" s="65" t="s">
        <v>142</v>
      </c>
      <c r="P17" s="69" t="s">
        <v>143</v>
      </c>
      <c r="Q17" s="64" t="s">
        <v>141</v>
      </c>
      <c r="R17" s="65" t="s">
        <v>142</v>
      </c>
      <c r="S17" s="69" t="s">
        <v>143</v>
      </c>
      <c r="T17" s="70"/>
      <c r="U17" s="1">
        <v>12</v>
      </c>
      <c r="V17" s="45">
        <f t="shared" si="0"/>
        <v>29.687279257571227</v>
      </c>
      <c r="W17" s="45">
        <f t="shared" si="1"/>
        <v>37.155275568614925</v>
      </c>
      <c r="X17" s="45">
        <f t="shared" si="2"/>
        <v>40.870803125476421</v>
      </c>
      <c r="Y17" s="45">
        <f t="shared" si="3"/>
        <v>44.957883438024076</v>
      </c>
      <c r="Z17" s="45">
        <f t="shared" si="4"/>
        <v>49.453671781826486</v>
      </c>
      <c r="AA17" s="45">
        <f t="shared" si="5"/>
        <v>54.399038960009129</v>
      </c>
    </row>
    <row r="18" spans="1:27" x14ac:dyDescent="0.2">
      <c r="A18" s="71" t="s">
        <v>144</v>
      </c>
      <c r="B18" s="72">
        <f>H6</f>
        <v>22.07415120295061</v>
      </c>
      <c r="C18" s="72">
        <f>MEDIAN(B18,D18)</f>
        <v>22.922798844120294</v>
      </c>
      <c r="D18" s="72">
        <f>B18*((1.025)^3)</f>
        <v>23.771446485289982</v>
      </c>
      <c r="E18" s="73">
        <f>I6</f>
        <v>27.627023809523809</v>
      </c>
      <c r="F18" s="72">
        <f>MEDIAN(E18,G18)</f>
        <v>28.68915337332589</v>
      </c>
      <c r="G18" s="74">
        <f>E18*((1.025)^3)</f>
        <v>29.751282937127971</v>
      </c>
      <c r="H18" s="72">
        <f>K6</f>
        <v>30.389726190476193</v>
      </c>
      <c r="I18" s="72">
        <f>MEDIAN(H18,J18)</f>
        <v>31.558068710658482</v>
      </c>
      <c r="J18" s="74">
        <f>H18*((1.025)^3)</f>
        <v>32.726411230840775</v>
      </c>
      <c r="K18" s="73">
        <f>M6</f>
        <v>33.428698809523816</v>
      </c>
      <c r="L18" s="72">
        <f>MEDIAN(K18,M18)</f>
        <v>34.713875581724338</v>
      </c>
      <c r="M18" s="74">
        <f>K18*((1.025)^3)</f>
        <v>35.999052353924853</v>
      </c>
      <c r="N18" s="73">
        <f>N6</f>
        <v>36.771568690476201</v>
      </c>
      <c r="O18" s="72">
        <f>MEDIAN(N18,P18)</f>
        <v>38.185263139896776</v>
      </c>
      <c r="P18" s="74">
        <f>N18*((1.025)^3)</f>
        <v>39.598957589317344</v>
      </c>
      <c r="Q18" s="73">
        <f>O6</f>
        <v>40.448725559523822</v>
      </c>
      <c r="R18" s="72">
        <f>MEDIAN(Q18,S18)</f>
        <v>42.003789453886455</v>
      </c>
      <c r="S18" s="74">
        <f>Q18*((1.025)^3)</f>
        <v>43.55885334824908</v>
      </c>
      <c r="T18" s="72"/>
      <c r="U18" s="1">
        <v>13</v>
      </c>
      <c r="V18" s="45">
        <f t="shared" si="0"/>
        <v>30.429461239010504</v>
      </c>
      <c r="W18" s="45">
        <f t="shared" si="1"/>
        <v>38.084157457830294</v>
      </c>
      <c r="X18" s="45">
        <f t="shared" si="2"/>
        <v>41.892573203613331</v>
      </c>
      <c r="Y18" s="45">
        <f t="shared" si="3"/>
        <v>46.081830523974673</v>
      </c>
      <c r="Z18" s="45">
        <f t="shared" si="4"/>
        <v>50.690013576372145</v>
      </c>
      <c r="AA18" s="45">
        <f t="shared" si="5"/>
        <v>55.75901493400935</v>
      </c>
    </row>
    <row r="19" spans="1:27" x14ac:dyDescent="0.2">
      <c r="A19" s="75" t="s">
        <v>145</v>
      </c>
      <c r="B19" s="72">
        <f>B18*((1.025)^4)</f>
        <v>24.365732647422227</v>
      </c>
      <c r="C19" s="72">
        <f t="shared" ref="C19:C23" si="8">MEDIAN(B19,D19)</f>
        <v>24.9824902550601</v>
      </c>
      <c r="D19" s="72">
        <f>B18*((1.025)^6)</f>
        <v>25.599247862697975</v>
      </c>
      <c r="E19" s="73">
        <f>E18*((1.025)^4)</f>
        <v>30.495065010556168</v>
      </c>
      <c r="F19" s="72">
        <f t="shared" ref="F19:F23" si="9">MEDIAN(E19,G19)</f>
        <v>31.26697134363587</v>
      </c>
      <c r="G19" s="74">
        <f>E18*((1.025)^6)</f>
        <v>32.038877676715572</v>
      </c>
      <c r="H19" s="72">
        <f>H18*((1.025)^4)</f>
        <v>33.544571511611785</v>
      </c>
      <c r="I19" s="72">
        <f t="shared" ref="I19:I23" si="10">MEDIAN(H19,J19)</f>
        <v>34.393668477999455</v>
      </c>
      <c r="J19" s="74">
        <f>H18*((1.025)^6)</f>
        <v>35.242765444387132</v>
      </c>
      <c r="K19" s="73">
        <f>K18*((1.025)^4)</f>
        <v>36.89902866277297</v>
      </c>
      <c r="L19" s="72">
        <f t="shared" ref="L19:L23" si="11">MEDIAN(K19,M19)</f>
        <v>37.833035325799408</v>
      </c>
      <c r="M19" s="74">
        <f>K18*((1.025)^6)</f>
        <v>38.767041988825845</v>
      </c>
      <c r="N19" s="73">
        <f>N18*((1.025)^4)</f>
        <v>40.588931529050271</v>
      </c>
      <c r="O19" s="72">
        <f t="shared" ref="O19:O23" si="12">MEDIAN(N19,P19)</f>
        <v>41.616338858379351</v>
      </c>
      <c r="P19" s="74">
        <f>N18*((1.025)^6)</f>
        <v>42.643746187708437</v>
      </c>
      <c r="Q19" s="73">
        <f>Q18*((1.025)^4)</f>
        <v>44.647824681955299</v>
      </c>
      <c r="R19" s="72">
        <f t="shared" ref="R19:R23" si="13">MEDIAN(Q19,S19)</f>
        <v>45.777972744217294</v>
      </c>
      <c r="S19" s="74">
        <f>Q18*((1.025)^6)</f>
        <v>46.908120806479282</v>
      </c>
      <c r="T19" s="72"/>
      <c r="U19" s="1">
        <v>14</v>
      </c>
      <c r="V19" s="45">
        <f t="shared" si="0"/>
        <v>31.190197769985765</v>
      </c>
      <c r="W19" s="45">
        <f t="shared" si="1"/>
        <v>39.036261394276046</v>
      </c>
      <c r="X19" s="45">
        <f t="shared" si="2"/>
        <v>42.939887533703661</v>
      </c>
      <c r="Y19" s="45">
        <f t="shared" si="3"/>
        <v>47.23387628707404</v>
      </c>
      <c r="Z19" s="45">
        <f t="shared" si="4"/>
        <v>51.957263915781446</v>
      </c>
      <c r="AA19" s="45">
        <f t="shared" si="5"/>
        <v>57.15299030735958</v>
      </c>
    </row>
    <row r="20" spans="1:27" x14ac:dyDescent="0.2">
      <c r="A20" s="75" t="s">
        <v>146</v>
      </c>
      <c r="B20" s="72">
        <f>B18*((1.025)^7)</f>
        <v>26.239229059265426</v>
      </c>
      <c r="C20" s="72">
        <f t="shared" si="8"/>
        <v>26.903409544828079</v>
      </c>
      <c r="D20" s="72">
        <f>B18*((1.025)^9)</f>
        <v>27.567590030390729</v>
      </c>
      <c r="E20" s="73">
        <f>E18*((1.025)^7)</f>
        <v>32.839849618633458</v>
      </c>
      <c r="F20" s="72">
        <f t="shared" si="9"/>
        <v>33.671108312105119</v>
      </c>
      <c r="G20" s="74">
        <f>E18*((1.025)^9)</f>
        <v>34.502367005576772</v>
      </c>
      <c r="H20" s="72">
        <f>H18*((1.025)^7)</f>
        <v>36.123834580496812</v>
      </c>
      <c r="I20" s="72">
        <f t="shared" si="10"/>
        <v>37.038219143315629</v>
      </c>
      <c r="J20" s="74">
        <f>H18*((1.025)^9)</f>
        <v>37.952603706134454</v>
      </c>
      <c r="K20" s="73">
        <f>K18*((1.025)^7)</f>
        <v>39.736218038546497</v>
      </c>
      <c r="L20" s="72">
        <f t="shared" si="11"/>
        <v>40.742041057647199</v>
      </c>
      <c r="M20" s="74">
        <f>K18*((1.025)^9)</f>
        <v>41.747864076747902</v>
      </c>
      <c r="N20" s="73">
        <f>N18*((1.025)^7)</f>
        <v>43.709839842401152</v>
      </c>
      <c r="O20" s="72">
        <f t="shared" si="12"/>
        <v>44.816245163411921</v>
      </c>
      <c r="P20" s="74">
        <f>N18*((1.025)^9)</f>
        <v>45.922650484422697</v>
      </c>
      <c r="Q20" s="73">
        <f>Q18*((1.025)^7)</f>
        <v>48.080823826641264</v>
      </c>
      <c r="R20" s="72">
        <f t="shared" si="13"/>
        <v>49.29786967975312</v>
      </c>
      <c r="S20" s="74">
        <f>Q18*((1.025)^9)</f>
        <v>50.514915532864968</v>
      </c>
      <c r="T20" s="72"/>
      <c r="U20" s="1">
        <v>15</v>
      </c>
      <c r="V20" s="45">
        <f t="shared" si="0"/>
        <v>31.969952714235408</v>
      </c>
      <c r="W20" s="45">
        <f t="shared" si="1"/>
        <v>40.012167929132943</v>
      </c>
      <c r="X20" s="45">
        <f t="shared" si="2"/>
        <v>44.013384722046247</v>
      </c>
      <c r="Y20" s="45">
        <f t="shared" si="3"/>
        <v>48.41472319425089</v>
      </c>
      <c r="Z20" s="45">
        <f t="shared" si="4"/>
        <v>53.256195513675976</v>
      </c>
      <c r="AA20" s="45">
        <f t="shared" si="5"/>
        <v>58.581815065043564</v>
      </c>
    </row>
    <row r="21" spans="1:27" x14ac:dyDescent="0.2">
      <c r="A21" s="75" t="s">
        <v>147</v>
      </c>
      <c r="B21" s="72">
        <f>B18*((1.025)^10)</f>
        <v>28.256779781150499</v>
      </c>
      <c r="C21" s="72">
        <f t="shared" si="8"/>
        <v>28.97202951936087</v>
      </c>
      <c r="D21" s="72">
        <f>B18*((1.025)^12)</f>
        <v>29.687279257571241</v>
      </c>
      <c r="E21" s="73">
        <f>E18*((1.025)^10)</f>
        <v>35.364926180716189</v>
      </c>
      <c r="F21" s="72">
        <f t="shared" si="9"/>
        <v>36.260100874665568</v>
      </c>
      <c r="G21" s="74">
        <f>E18*((1.025)^12)</f>
        <v>37.155275568614947</v>
      </c>
      <c r="H21" s="72">
        <f>H18*((1.025)^10)</f>
        <v>38.901418798787809</v>
      </c>
      <c r="I21" s="72">
        <f t="shared" si="10"/>
        <v>39.886110962132122</v>
      </c>
      <c r="J21" s="74">
        <f>H18*((1.025)^12)</f>
        <v>40.870803125476442</v>
      </c>
      <c r="K21" s="73">
        <f>K18*((1.025)^10)</f>
        <v>42.791560678666599</v>
      </c>
      <c r="L21" s="72">
        <f t="shared" si="11"/>
        <v>43.874722058345341</v>
      </c>
      <c r="M21" s="74">
        <f>K18*((1.025)^12)</f>
        <v>44.957883438024091</v>
      </c>
      <c r="N21" s="73">
        <f>N18*((1.025)^10)</f>
        <v>47.070716746533265</v>
      </c>
      <c r="O21" s="72">
        <f t="shared" si="12"/>
        <v>48.262194264179882</v>
      </c>
      <c r="P21" s="74">
        <f>N18*((1.025)^12)</f>
        <v>49.453671781826507</v>
      </c>
      <c r="Q21" s="73">
        <f>Q18*((1.025)^10)</f>
        <v>51.777788421186592</v>
      </c>
      <c r="R21" s="72">
        <f t="shared" si="13"/>
        <v>53.088413690597875</v>
      </c>
      <c r="S21" s="74">
        <f>Q18*((1.025)^12)</f>
        <v>54.399038960009158</v>
      </c>
      <c r="T21" s="72"/>
      <c r="U21" s="1">
        <v>16</v>
      </c>
      <c r="V21" s="45">
        <f t="shared" si="0"/>
        <v>32.769201532091287</v>
      </c>
      <c r="W21" s="45">
        <f t="shared" si="1"/>
        <v>41.012472127361264</v>
      </c>
      <c r="X21" s="45">
        <f t="shared" si="2"/>
        <v>45.113719340097397</v>
      </c>
      <c r="Y21" s="45">
        <f t="shared" si="3"/>
        <v>49.625091274107156</v>
      </c>
      <c r="Z21" s="45">
        <f t="shared" si="4"/>
        <v>54.587600401517868</v>
      </c>
      <c r="AA21" s="45">
        <f t="shared" si="5"/>
        <v>60.046360441669648</v>
      </c>
    </row>
    <row r="22" spans="1:27" x14ac:dyDescent="0.2">
      <c r="A22" s="75" t="s">
        <v>148</v>
      </c>
      <c r="B22" s="72">
        <f>B18*((1.025)^13)</f>
        <v>30.429461239010518</v>
      </c>
      <c r="C22" s="72">
        <f t="shared" si="8"/>
        <v>31.199706976622974</v>
      </c>
      <c r="D22" s="72">
        <f>B18*((1.025)^15)</f>
        <v>31.969952714235429</v>
      </c>
      <c r="E22" s="73">
        <f>E18*((1.025)^13)</f>
        <v>38.084157457830315</v>
      </c>
      <c r="F22" s="72">
        <f t="shared" si="9"/>
        <v>39.048162693481643</v>
      </c>
      <c r="G22" s="74">
        <f>E18*((1.025)^15)</f>
        <v>40.012167929132978</v>
      </c>
      <c r="H22" s="72">
        <f>H18*((1.025)^13)</f>
        <v>41.892573203613352</v>
      </c>
      <c r="I22" s="72">
        <f t="shared" si="10"/>
        <v>42.952978962829818</v>
      </c>
      <c r="J22" s="74">
        <f>H18*((1.025)^15)</f>
        <v>44.013384722046275</v>
      </c>
      <c r="K22" s="73">
        <f>K18*((1.025)^13)</f>
        <v>46.081830523974688</v>
      </c>
      <c r="L22" s="72">
        <f t="shared" si="11"/>
        <v>47.248276859112799</v>
      </c>
      <c r="M22" s="74">
        <f>K18*((1.025)^15)</f>
        <v>48.414723194250911</v>
      </c>
      <c r="N22" s="73">
        <f>N18*((1.025)^13)</f>
        <v>50.690013576372166</v>
      </c>
      <c r="O22" s="72">
        <f t="shared" si="12"/>
        <v>51.973104545024086</v>
      </c>
      <c r="P22" s="74">
        <f>N18*((1.025)^15)</f>
        <v>53.256195513676005</v>
      </c>
      <c r="Q22" s="73">
        <f>Q18*((1.025)^13)</f>
        <v>55.759014934009386</v>
      </c>
      <c r="R22" s="72">
        <f t="shared" si="13"/>
        <v>57.1704149995265</v>
      </c>
      <c r="S22" s="74">
        <f>Q18*((1.025)^15)</f>
        <v>58.581815065043614</v>
      </c>
      <c r="T22" s="72"/>
      <c r="U22" s="1">
        <v>17</v>
      </c>
      <c r="V22" s="45">
        <f t="shared" si="0"/>
        <v>33.588431570393567</v>
      </c>
      <c r="W22" s="45">
        <f t="shared" si="1"/>
        <v>42.037783930545288</v>
      </c>
      <c r="X22" s="45">
        <f t="shared" si="2"/>
        <v>46.24156232359983</v>
      </c>
      <c r="Y22" s="45">
        <f t="shared" si="3"/>
        <v>50.86571855595983</v>
      </c>
      <c r="Z22" s="45">
        <f t="shared" si="4"/>
        <v>55.952290411555808</v>
      </c>
      <c r="AA22" s="45">
        <f t="shared" si="5"/>
        <v>61.547519452711384</v>
      </c>
    </row>
    <row r="23" spans="1:27" x14ac:dyDescent="0.2">
      <c r="A23" s="76" t="s">
        <v>149</v>
      </c>
      <c r="B23" s="77">
        <f>B18*((1.025)^16)</f>
        <v>32.769201532091309</v>
      </c>
      <c r="C23" s="77">
        <f t="shared" si="8"/>
        <v>34.470134299351095</v>
      </c>
      <c r="D23" s="77">
        <f>B18*((1.025)^20)</f>
        <v>36.171067066610881</v>
      </c>
      <c r="E23" s="78">
        <f>E18*((1.025)^16)</f>
        <v>41.012472127361299</v>
      </c>
      <c r="F23" s="77">
        <f t="shared" si="9"/>
        <v>43.141283768970602</v>
      </c>
      <c r="G23" s="79">
        <f>E18*((1.025)^20)</f>
        <v>45.270095410579906</v>
      </c>
      <c r="H23" s="78">
        <f>H18*((1.025)^16)</f>
        <v>45.113719340097433</v>
      </c>
      <c r="I23" s="77">
        <f t="shared" si="10"/>
        <v>47.455412145867669</v>
      </c>
      <c r="J23" s="79">
        <f>H18*((1.025)^20)</f>
        <v>49.797104951637898</v>
      </c>
      <c r="K23" s="77">
        <f>K18*((1.025)^16)</f>
        <v>49.625091274107177</v>
      </c>
      <c r="L23" s="77">
        <f t="shared" si="11"/>
        <v>52.200953360454434</v>
      </c>
      <c r="M23" s="79">
        <f>K18*((1.025)^20)</f>
        <v>54.776815446801699</v>
      </c>
      <c r="N23" s="77">
        <f>N18*((1.025)^16)</f>
        <v>54.587600401517903</v>
      </c>
      <c r="O23" s="77">
        <f t="shared" si="12"/>
        <v>57.421048696499888</v>
      </c>
      <c r="P23" s="77">
        <f>N18*((1.025)^20)</f>
        <v>60.254496991481872</v>
      </c>
      <c r="Q23" s="78">
        <f>Q18*((1.025)^16)</f>
        <v>60.046360441669698</v>
      </c>
      <c r="R23" s="77">
        <f t="shared" si="13"/>
        <v>63.163153566149887</v>
      </c>
      <c r="S23" s="79">
        <f>Q18*((1.025)^20)</f>
        <v>66.279946690630069</v>
      </c>
      <c r="T23" s="72"/>
      <c r="U23" s="1">
        <v>18</v>
      </c>
      <c r="V23" s="45">
        <f t="shared" si="0"/>
        <v>34.4281423596534</v>
      </c>
      <c r="W23" s="45">
        <f t="shared" si="1"/>
        <v>43.088728528808915</v>
      </c>
      <c r="X23" s="45">
        <f t="shared" si="2"/>
        <v>47.397601381689825</v>
      </c>
      <c r="Y23" s="45">
        <f t="shared" si="3"/>
        <v>52.137361519858821</v>
      </c>
      <c r="Z23" s="45">
        <f t="shared" si="4"/>
        <v>57.351097671844698</v>
      </c>
      <c r="AA23" s="45">
        <f t="shared" si="5"/>
        <v>63.086207439029167</v>
      </c>
    </row>
    <row r="24" spans="1:27" ht="15" x14ac:dyDescent="0.25">
      <c r="A24" s="43"/>
      <c r="B24" s="35"/>
      <c r="C24" s="45"/>
      <c r="D24" s="35"/>
      <c r="E24" s="80"/>
      <c r="F24" s="80"/>
      <c r="G24" s="80"/>
      <c r="H24" s="80"/>
      <c r="I24" s="72"/>
      <c r="J24" s="72"/>
      <c r="M24" s="39"/>
      <c r="P24" s="1"/>
      <c r="U24" s="1">
        <v>19</v>
      </c>
      <c r="V24" s="45">
        <f t="shared" si="0"/>
        <v>35.288845918644732</v>
      </c>
      <c r="W24" s="45">
        <f t="shared" si="1"/>
        <v>44.165946742029135</v>
      </c>
      <c r="X24" s="45">
        <f t="shared" si="2"/>
        <v>48.582541416232068</v>
      </c>
      <c r="Y24" s="45">
        <f t="shared" si="3"/>
        <v>53.440795557855289</v>
      </c>
      <c r="Z24" s="45">
        <f t="shared" si="4"/>
        <v>58.784875113640808</v>
      </c>
      <c r="AA24" s="45">
        <f t="shared" si="5"/>
        <v>64.663362625004893</v>
      </c>
    </row>
    <row r="25" spans="1:27" ht="15" x14ac:dyDescent="0.25">
      <c r="A25" s="43"/>
      <c r="B25" s="35"/>
      <c r="C25" s="45"/>
      <c r="D25" s="35"/>
      <c r="E25" s="80"/>
      <c r="F25" s="80"/>
      <c r="G25" s="80"/>
      <c r="H25" s="80"/>
      <c r="I25" s="72"/>
      <c r="J25" s="72"/>
      <c r="M25" s="39"/>
      <c r="P25" s="1"/>
      <c r="U25" s="1">
        <v>20</v>
      </c>
      <c r="V25" s="45">
        <f t="shared" si="0"/>
        <v>36.171067066610846</v>
      </c>
      <c r="W25" s="45">
        <f t="shared" si="1"/>
        <v>45.270095410579856</v>
      </c>
      <c r="X25" s="45">
        <f t="shared" si="2"/>
        <v>49.797104951637863</v>
      </c>
      <c r="Y25" s="45">
        <f t="shared" si="3"/>
        <v>54.776815446801663</v>
      </c>
      <c r="Z25" s="45">
        <f t="shared" si="4"/>
        <v>60.254496991481822</v>
      </c>
      <c r="AA25" s="45">
        <f t="shared" si="5"/>
        <v>66.279946690630013</v>
      </c>
    </row>
    <row r="26" spans="1:27" ht="15" x14ac:dyDescent="0.25">
      <c r="A26" s="43"/>
      <c r="B26" s="35"/>
      <c r="C26" s="45"/>
      <c r="D26" s="35"/>
      <c r="E26" s="80"/>
      <c r="F26" s="80"/>
      <c r="G26" s="80"/>
      <c r="H26" s="80"/>
      <c r="I26" s="72"/>
      <c r="J26" s="72"/>
      <c r="M26" s="39"/>
      <c r="P26" s="1"/>
      <c r="V26" s="45"/>
      <c r="W26" s="45"/>
      <c r="X26" s="45"/>
      <c r="Y26" s="45"/>
      <c r="Z26" s="45"/>
      <c r="AA26" s="45"/>
    </row>
    <row r="27" spans="1:27" x14ac:dyDescent="0.2">
      <c r="O27" s="39"/>
      <c r="P27" s="1"/>
      <c r="U27" s="45"/>
      <c r="V27" s="45"/>
      <c r="W27" s="45"/>
      <c r="X27" s="45"/>
      <c r="Y27" s="45"/>
      <c r="Z27" s="45"/>
      <c r="AA27" s="45"/>
    </row>
    <row r="28" spans="1:27" ht="16.5" thickBot="1" x14ac:dyDescent="0.3">
      <c r="A28" s="28" t="s">
        <v>150</v>
      </c>
      <c r="B28" s="28"/>
      <c r="C28" s="28"/>
      <c r="D28" s="28"/>
      <c r="E28" s="28"/>
      <c r="F28" s="28"/>
      <c r="G28" s="28"/>
      <c r="H28" s="28"/>
      <c r="I28" s="28"/>
      <c r="J28" s="28"/>
      <c r="K28" s="28"/>
      <c r="L28" s="28"/>
      <c r="M28" s="28"/>
      <c r="N28" s="28"/>
      <c r="O28" s="28"/>
      <c r="P28" s="28"/>
      <c r="Q28" s="28"/>
      <c r="R28" s="28"/>
      <c r="S28" s="28"/>
      <c r="U28" s="45"/>
      <c r="V28" s="45" t="s">
        <v>62</v>
      </c>
      <c r="W28" s="45"/>
      <c r="X28" s="45"/>
      <c r="Y28" s="45"/>
      <c r="Z28" s="45"/>
      <c r="AA28" s="45"/>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45" t="s">
        <v>130</v>
      </c>
      <c r="V29" s="45" t="s">
        <v>131</v>
      </c>
      <c r="W29" s="45" t="s">
        <v>48</v>
      </c>
      <c r="X29" s="45" t="s">
        <v>50</v>
      </c>
      <c r="Y29" s="45" t="s">
        <v>132</v>
      </c>
      <c r="Z29" s="45" t="s">
        <v>133</v>
      </c>
      <c r="AA29" s="45"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208">
        <f>H8</f>
        <v>20.067410184500556</v>
      </c>
      <c r="W30" s="208">
        <f>I8</f>
        <v>25.115476190476187</v>
      </c>
      <c r="X30" s="208">
        <f>K8</f>
        <v>27.627023809523809</v>
      </c>
      <c r="Y30" s="208">
        <f>M8</f>
        <v>30.389726190476193</v>
      </c>
      <c r="Z30" s="208">
        <f>N8</f>
        <v>33.428698809523816</v>
      </c>
      <c r="AA30" s="208">
        <f>O8</f>
        <v>36.771568690476201</v>
      </c>
    </row>
    <row r="31" spans="1:27" ht="15" thickBot="1" x14ac:dyDescent="0.25">
      <c r="A31" s="276"/>
      <c r="B31" s="64" t="s">
        <v>141</v>
      </c>
      <c r="C31" s="65" t="s">
        <v>142</v>
      </c>
      <c r="D31" s="69" t="s">
        <v>143</v>
      </c>
      <c r="E31" s="67" t="s">
        <v>141</v>
      </c>
      <c r="F31" s="67" t="s">
        <v>142</v>
      </c>
      <c r="G31" s="67" t="s">
        <v>143</v>
      </c>
      <c r="H31" s="64" t="s">
        <v>141</v>
      </c>
      <c r="I31" s="65" t="s">
        <v>142</v>
      </c>
      <c r="J31" s="69" t="s">
        <v>143</v>
      </c>
      <c r="K31" s="64" t="s">
        <v>141</v>
      </c>
      <c r="L31" s="65" t="s">
        <v>142</v>
      </c>
      <c r="M31" s="69" t="s">
        <v>143</v>
      </c>
      <c r="N31" s="64" t="s">
        <v>141</v>
      </c>
      <c r="O31" s="65" t="s">
        <v>142</v>
      </c>
      <c r="P31" s="69" t="s">
        <v>143</v>
      </c>
      <c r="Q31" s="64" t="s">
        <v>141</v>
      </c>
      <c r="R31" s="65" t="s">
        <v>142</v>
      </c>
      <c r="S31" s="69" t="s">
        <v>143</v>
      </c>
      <c r="U31" s="1">
        <v>1</v>
      </c>
      <c r="V31" s="208">
        <f t="shared" ref="V31:V50" si="14">V30*1.025</f>
        <v>20.569095439113067</v>
      </c>
      <c r="W31" s="208">
        <f t="shared" ref="W31:W50" si="15">W30*1.025</f>
        <v>25.743363095238088</v>
      </c>
      <c r="X31" s="208">
        <f t="shared" ref="X31:X50" si="16">X30*1.025</f>
        <v>28.317699404761903</v>
      </c>
      <c r="Y31" s="208">
        <f t="shared" ref="Y31:Y50" si="17">Y30*1.025</f>
        <v>31.149469345238096</v>
      </c>
      <c r="Z31" s="208">
        <f t="shared" ref="Z31:Z50" si="18">Z30*1.025</f>
        <v>34.26441627976191</v>
      </c>
      <c r="AA31" s="208">
        <f t="shared" ref="AA31:AA50" si="19">AA30*1.025</f>
        <v>37.690857907738099</v>
      </c>
    </row>
    <row r="32" spans="1:27" x14ac:dyDescent="0.2">
      <c r="A32" s="71" t="s">
        <v>144</v>
      </c>
      <c r="B32" s="72">
        <f>F8</f>
        <v>20.067410184500556</v>
      </c>
      <c r="C32" s="72">
        <f>MEDIAN(B32,D32)</f>
        <v>20.838908040109359</v>
      </c>
      <c r="D32" s="74">
        <f>B32*((1.025)^3)</f>
        <v>21.610405895718166</v>
      </c>
      <c r="E32" s="72">
        <f>I8</f>
        <v>25.115476190476187</v>
      </c>
      <c r="F32" s="72">
        <f>MEDIAN(E32,G32)</f>
        <v>26.081048521205354</v>
      </c>
      <c r="G32" s="72">
        <f>E32*((1.025)^3)</f>
        <v>27.046620851934517</v>
      </c>
      <c r="H32" s="73">
        <f>K8</f>
        <v>27.627023809523809</v>
      </c>
      <c r="I32" s="72">
        <f>MEDIAN(H32,J32)</f>
        <v>28.68915337332589</v>
      </c>
      <c r="J32" s="74">
        <f>H32*((1.025)^3)</f>
        <v>29.751282937127971</v>
      </c>
      <c r="K32" s="73">
        <f>M8</f>
        <v>30.389726190476193</v>
      </c>
      <c r="L32" s="72">
        <f>MEDIAN(K32,M32)</f>
        <v>31.558068710658482</v>
      </c>
      <c r="M32" s="74">
        <f>K32*((1.025)^3)</f>
        <v>32.726411230840775</v>
      </c>
      <c r="N32" s="73">
        <f>N8</f>
        <v>33.428698809523816</v>
      </c>
      <c r="O32" s="72">
        <f>MEDIAN(N32,P32)</f>
        <v>34.713875581724338</v>
      </c>
      <c r="P32" s="74">
        <f>N32*((1.025)^3)</f>
        <v>35.999052353924853</v>
      </c>
      <c r="Q32" s="73">
        <f>O8</f>
        <v>36.771568690476201</v>
      </c>
      <c r="R32" s="72">
        <f>MEDIAN(Q32,S32)</f>
        <v>38.185263139896776</v>
      </c>
      <c r="S32" s="74">
        <f>Q32*((1.025)^3)</f>
        <v>39.598957589317344</v>
      </c>
      <c r="U32" s="1">
        <v>2</v>
      </c>
      <c r="V32" s="208">
        <f t="shared" si="14"/>
        <v>21.083322825090892</v>
      </c>
      <c r="W32" s="208">
        <f t="shared" si="15"/>
        <v>26.386947172619038</v>
      </c>
      <c r="X32" s="208">
        <f t="shared" si="16"/>
        <v>29.025641889880948</v>
      </c>
      <c r="Y32" s="208">
        <f t="shared" si="17"/>
        <v>31.928206078869046</v>
      </c>
      <c r="Z32" s="208">
        <f t="shared" si="18"/>
        <v>35.121026686755954</v>
      </c>
      <c r="AA32" s="208">
        <f t="shared" si="19"/>
        <v>38.633129355431549</v>
      </c>
    </row>
    <row r="33" spans="1:27" x14ac:dyDescent="0.2">
      <c r="A33" s="75" t="s">
        <v>145</v>
      </c>
      <c r="B33" s="72">
        <f>B32*((1.025)^4)</f>
        <v>22.150666043111119</v>
      </c>
      <c r="C33" s="72">
        <f t="shared" ref="C33:C37" si="20">MEDIAN(B33,D33)</f>
        <v>22.711354777327365</v>
      </c>
      <c r="D33" s="74">
        <f>B32*((1.025)^6)</f>
        <v>23.272043511543615</v>
      </c>
      <c r="E33" s="72">
        <f>E32*((1.025)^4)</f>
        <v>27.722786373232879</v>
      </c>
      <c r="F33" s="72">
        <f t="shared" ref="F33:F37" si="21">MEDIAN(E33,G33)</f>
        <v>28.424519403305332</v>
      </c>
      <c r="G33" s="72">
        <f>E32*((1.025)^6)</f>
        <v>29.126252433377786</v>
      </c>
      <c r="H33" s="73">
        <f>H32*((1.025)^4)</f>
        <v>30.495065010556168</v>
      </c>
      <c r="I33" s="72">
        <f t="shared" ref="I33:I37" si="22">MEDIAN(H33,J33)</f>
        <v>31.26697134363587</v>
      </c>
      <c r="J33" s="74">
        <f>H32*((1.025)^6)</f>
        <v>32.038877676715572</v>
      </c>
      <c r="K33" s="73">
        <f>K32*((1.025)^4)</f>
        <v>33.544571511611785</v>
      </c>
      <c r="L33" s="72">
        <f t="shared" ref="L33:L37" si="23">MEDIAN(K33,M33)</f>
        <v>34.393668477999455</v>
      </c>
      <c r="M33" s="74">
        <f>K32*((1.025)^6)</f>
        <v>35.242765444387132</v>
      </c>
      <c r="N33" s="73">
        <f>N32*((1.025)^4)</f>
        <v>36.89902866277297</v>
      </c>
      <c r="O33" s="72">
        <f t="shared" ref="O33:O37" si="24">MEDIAN(N33,P33)</f>
        <v>37.833035325799408</v>
      </c>
      <c r="P33" s="74">
        <f>N32*((1.025)^6)</f>
        <v>38.767041988825845</v>
      </c>
      <c r="Q33" s="73">
        <f>Q32*((1.025)^4)</f>
        <v>40.588931529050271</v>
      </c>
      <c r="R33" s="72">
        <f t="shared" ref="R33:R37" si="25">MEDIAN(Q33,S33)</f>
        <v>41.616338858379351</v>
      </c>
      <c r="S33" s="74">
        <f>Q32*((1.025)^6)</f>
        <v>42.643746187708437</v>
      </c>
      <c r="U33" s="1">
        <v>3</v>
      </c>
      <c r="V33" s="208">
        <f t="shared" si="14"/>
        <v>21.610405895718163</v>
      </c>
      <c r="W33" s="208">
        <f t="shared" si="15"/>
        <v>27.046620851934513</v>
      </c>
      <c r="X33" s="208">
        <f t="shared" si="16"/>
        <v>29.751282937127968</v>
      </c>
      <c r="Y33" s="208">
        <f t="shared" si="17"/>
        <v>32.726411230840768</v>
      </c>
      <c r="Z33" s="208">
        <f t="shared" si="18"/>
        <v>35.999052353924853</v>
      </c>
      <c r="AA33" s="208">
        <f t="shared" si="19"/>
        <v>39.598957589317337</v>
      </c>
    </row>
    <row r="34" spans="1:27" x14ac:dyDescent="0.2">
      <c r="A34" s="75" t="s">
        <v>146</v>
      </c>
      <c r="B34" s="72">
        <f>B32*((1.025)^7)</f>
        <v>23.853844599332206</v>
      </c>
      <c r="C34" s="72">
        <f t="shared" si="20"/>
        <v>24.457645040752801</v>
      </c>
      <c r="D34" s="74">
        <f>B32*((1.025)^9)</f>
        <v>25.061445482173394</v>
      </c>
      <c r="E34" s="72">
        <f>E32*((1.025)^7)</f>
        <v>29.854408744212233</v>
      </c>
      <c r="F34" s="72">
        <f t="shared" si="21"/>
        <v>30.610098465550102</v>
      </c>
      <c r="G34" s="72">
        <f>E32*((1.025)^9)</f>
        <v>31.365788186887968</v>
      </c>
      <c r="H34" s="73">
        <f>H32*((1.025)^7)</f>
        <v>32.839849618633458</v>
      </c>
      <c r="I34" s="72">
        <f t="shared" si="22"/>
        <v>33.671108312105119</v>
      </c>
      <c r="J34" s="74">
        <f>H32*((1.025)^9)</f>
        <v>34.502367005576772</v>
      </c>
      <c r="K34" s="73">
        <f>K32*((1.025)^7)</f>
        <v>36.123834580496812</v>
      </c>
      <c r="L34" s="72">
        <f t="shared" si="23"/>
        <v>37.038219143315629</v>
      </c>
      <c r="M34" s="74">
        <f>K32*((1.025)^9)</f>
        <v>37.952603706134454</v>
      </c>
      <c r="N34" s="73">
        <f>N32*((1.025)^7)</f>
        <v>39.736218038546497</v>
      </c>
      <c r="O34" s="72">
        <f t="shared" si="24"/>
        <v>40.742041057647199</v>
      </c>
      <c r="P34" s="74">
        <f>N32*((1.025)^9)</f>
        <v>41.747864076747902</v>
      </c>
      <c r="Q34" s="73">
        <f>Q32*((1.025)^7)</f>
        <v>43.709839842401152</v>
      </c>
      <c r="R34" s="72">
        <f t="shared" si="25"/>
        <v>44.816245163411921</v>
      </c>
      <c r="S34" s="74">
        <f>Q32*((1.025)^9)</f>
        <v>45.922650484422697</v>
      </c>
      <c r="U34" s="1">
        <v>4</v>
      </c>
      <c r="V34" s="208">
        <f t="shared" si="14"/>
        <v>22.150666043111116</v>
      </c>
      <c r="W34" s="208">
        <f t="shared" si="15"/>
        <v>27.722786373232875</v>
      </c>
      <c r="X34" s="208">
        <f t="shared" si="16"/>
        <v>30.495065010556164</v>
      </c>
      <c r="Y34" s="208">
        <f t="shared" si="17"/>
        <v>33.544571511611785</v>
      </c>
      <c r="Z34" s="208">
        <f t="shared" si="18"/>
        <v>36.89902866277297</v>
      </c>
      <c r="AA34" s="208">
        <f t="shared" si="19"/>
        <v>40.588931529050264</v>
      </c>
    </row>
    <row r="35" spans="1:27" x14ac:dyDescent="0.2">
      <c r="A35" s="75" t="s">
        <v>147</v>
      </c>
      <c r="B35" s="72">
        <f>B32*((1.025)^10)</f>
        <v>25.687981619227727</v>
      </c>
      <c r="C35" s="72">
        <f t="shared" si="20"/>
        <v>26.338208653964429</v>
      </c>
      <c r="D35" s="74">
        <f>B32*((1.025)^12)</f>
        <v>26.988435688701131</v>
      </c>
      <c r="E35" s="72">
        <f>E32*((1.025)^10)</f>
        <v>32.149932891560169</v>
      </c>
      <c r="F35" s="72">
        <f t="shared" si="21"/>
        <v>32.963728067877781</v>
      </c>
      <c r="G35" s="72">
        <f>E32*((1.025)^12)</f>
        <v>33.7775232441954</v>
      </c>
      <c r="H35" s="73">
        <f>H32*((1.025)^10)</f>
        <v>35.364926180716189</v>
      </c>
      <c r="I35" s="72">
        <f t="shared" si="22"/>
        <v>36.260100874665568</v>
      </c>
      <c r="J35" s="74">
        <f>H32*((1.025)^12)</f>
        <v>37.155275568614947</v>
      </c>
      <c r="K35" s="73">
        <f>K32*((1.025)^10)</f>
        <v>38.901418798787809</v>
      </c>
      <c r="L35" s="72">
        <f t="shared" si="23"/>
        <v>39.886110962132122</v>
      </c>
      <c r="M35" s="74">
        <f>K32*((1.025)^12)</f>
        <v>40.870803125476442</v>
      </c>
      <c r="N35" s="73">
        <f>N32*((1.025)^10)</f>
        <v>42.791560678666599</v>
      </c>
      <c r="O35" s="72">
        <f t="shared" si="24"/>
        <v>43.874722058345341</v>
      </c>
      <c r="P35" s="74">
        <f>N32*((1.025)^12)</f>
        <v>44.957883438024091</v>
      </c>
      <c r="Q35" s="73">
        <f>Q32*((1.025)^10)</f>
        <v>47.070716746533265</v>
      </c>
      <c r="R35" s="72">
        <f t="shared" si="25"/>
        <v>48.262194264179882</v>
      </c>
      <c r="S35" s="74">
        <f>Q32*((1.025)^12)</f>
        <v>49.453671781826507</v>
      </c>
      <c r="U35" s="1">
        <v>5</v>
      </c>
      <c r="V35" s="208">
        <f t="shared" si="14"/>
        <v>22.704432694188892</v>
      </c>
      <c r="W35" s="208">
        <f t="shared" si="15"/>
        <v>28.415856032563696</v>
      </c>
      <c r="X35" s="208">
        <f t="shared" si="16"/>
        <v>31.257441635820065</v>
      </c>
      <c r="Y35" s="208">
        <f t="shared" si="17"/>
        <v>34.383185799402078</v>
      </c>
      <c r="Z35" s="208">
        <f t="shared" si="18"/>
        <v>37.821504379342294</v>
      </c>
      <c r="AA35" s="208">
        <f t="shared" si="19"/>
        <v>41.603654817276514</v>
      </c>
    </row>
    <row r="36" spans="1:27" x14ac:dyDescent="0.2">
      <c r="A36" s="75" t="s">
        <v>148</v>
      </c>
      <c r="B36" s="72">
        <f>B32*((1.025)^13)</f>
        <v>27.663146580918657</v>
      </c>
      <c r="C36" s="72">
        <f t="shared" si="20"/>
        <v>28.36336997874816</v>
      </c>
      <c r="D36" s="72">
        <f>B32*((1.025)^15)</f>
        <v>29.063593376577664</v>
      </c>
      <c r="E36" s="73">
        <f>E32*((1.025)^13)</f>
        <v>34.621961325300283</v>
      </c>
      <c r="F36" s="72">
        <f t="shared" si="21"/>
        <v>35.498329721346948</v>
      </c>
      <c r="G36" s="74">
        <f>E32*((1.025)^15)</f>
        <v>36.374698117393613</v>
      </c>
      <c r="H36" s="72">
        <f>H32*((1.025)^13)</f>
        <v>38.084157457830315</v>
      </c>
      <c r="I36" s="72">
        <f t="shared" si="22"/>
        <v>39.048162693481643</v>
      </c>
      <c r="J36" s="74">
        <f>H32*((1.025)^15)</f>
        <v>40.012167929132978</v>
      </c>
      <c r="K36" s="73">
        <f>K32*((1.025)^13)</f>
        <v>41.892573203613352</v>
      </c>
      <c r="L36" s="72">
        <f t="shared" si="23"/>
        <v>42.952978962829818</v>
      </c>
      <c r="M36" s="74">
        <f>K32*((1.025)^15)</f>
        <v>44.013384722046275</v>
      </c>
      <c r="N36" s="73">
        <f>N32*((1.025)^13)</f>
        <v>46.081830523974688</v>
      </c>
      <c r="O36" s="72">
        <f t="shared" si="24"/>
        <v>47.248276859112799</v>
      </c>
      <c r="P36" s="74">
        <f>N32*((1.025)^15)</f>
        <v>48.414723194250911</v>
      </c>
      <c r="Q36" s="73">
        <f>Q32*((1.025)^13)</f>
        <v>50.690013576372166</v>
      </c>
      <c r="R36" s="72">
        <f t="shared" si="25"/>
        <v>51.973104545024086</v>
      </c>
      <c r="S36" s="74">
        <f>Q32*((1.025)^15)</f>
        <v>53.256195513676005</v>
      </c>
      <c r="T36" s="45"/>
      <c r="U36" s="1">
        <v>6</v>
      </c>
      <c r="V36" s="208">
        <f t="shared" si="14"/>
        <v>23.272043511543611</v>
      </c>
      <c r="W36" s="208">
        <f t="shared" si="15"/>
        <v>29.126252433377786</v>
      </c>
      <c r="X36" s="208">
        <f t="shared" si="16"/>
        <v>32.038877676715565</v>
      </c>
      <c r="Y36" s="208">
        <f t="shared" si="17"/>
        <v>35.242765444387125</v>
      </c>
      <c r="Z36" s="208">
        <f t="shared" si="18"/>
        <v>38.767041988825845</v>
      </c>
      <c r="AA36" s="208">
        <f t="shared" si="19"/>
        <v>42.643746187708423</v>
      </c>
    </row>
    <row r="37" spans="1:27" x14ac:dyDescent="0.2">
      <c r="A37" s="76" t="s">
        <v>149</v>
      </c>
      <c r="B37" s="77">
        <f>B32*((1.025)^16)</f>
        <v>29.790183210992105</v>
      </c>
      <c r="C37" s="77">
        <f t="shared" si="20"/>
        <v>31.336485726682817</v>
      </c>
      <c r="D37" s="77">
        <f>B32*((1.025)^20)</f>
        <v>32.882788242373529</v>
      </c>
      <c r="E37" s="78">
        <f>E32*((1.025)^16)</f>
        <v>37.284065570328444</v>
      </c>
      <c r="F37" s="77">
        <f t="shared" si="21"/>
        <v>39.219348880882357</v>
      </c>
      <c r="G37" s="79">
        <f>E32*((1.025)^20)</f>
        <v>41.154632191436271</v>
      </c>
      <c r="H37" s="78">
        <f>H32*((1.025)^16)</f>
        <v>41.012472127361299</v>
      </c>
      <c r="I37" s="77">
        <f t="shared" si="22"/>
        <v>43.141283768970602</v>
      </c>
      <c r="J37" s="79">
        <f>H32*((1.025)^20)</f>
        <v>45.270095410579906</v>
      </c>
      <c r="K37" s="77">
        <f>K32*((1.025)^16)</f>
        <v>45.113719340097433</v>
      </c>
      <c r="L37" s="77">
        <f t="shared" si="23"/>
        <v>47.455412145867669</v>
      </c>
      <c r="M37" s="79">
        <f>K32*((1.025)^20)</f>
        <v>49.797104951637898</v>
      </c>
      <c r="N37" s="77">
        <f>N32*((1.025)^16)</f>
        <v>49.625091274107177</v>
      </c>
      <c r="O37" s="77">
        <f t="shared" si="24"/>
        <v>52.200953360454434</v>
      </c>
      <c r="P37" s="77">
        <f>N32*((1.025)^20)</f>
        <v>54.776815446801699</v>
      </c>
      <c r="Q37" s="78">
        <f>Q32*((1.025)^16)</f>
        <v>54.587600401517903</v>
      </c>
      <c r="R37" s="77">
        <f t="shared" si="25"/>
        <v>57.421048696499888</v>
      </c>
      <c r="S37" s="79">
        <f>Q32*((1.025)^20)</f>
        <v>60.254496991481872</v>
      </c>
      <c r="U37" s="1">
        <v>7</v>
      </c>
      <c r="V37" s="208">
        <f t="shared" si="14"/>
        <v>23.853844599332199</v>
      </c>
      <c r="W37" s="208">
        <f t="shared" si="15"/>
        <v>29.854408744212229</v>
      </c>
      <c r="X37" s="208">
        <f t="shared" si="16"/>
        <v>32.839849618633451</v>
      </c>
      <c r="Y37" s="208">
        <f t="shared" si="17"/>
        <v>36.123834580496798</v>
      </c>
      <c r="Z37" s="208">
        <f t="shared" si="18"/>
        <v>39.73621803854649</v>
      </c>
      <c r="AA37" s="208">
        <f t="shared" si="19"/>
        <v>43.709839842401131</v>
      </c>
    </row>
    <row r="38" spans="1:27" ht="15" x14ac:dyDescent="0.25">
      <c r="A38" s="43"/>
      <c r="B38" s="35"/>
      <c r="C38" s="45"/>
      <c r="D38" s="35"/>
      <c r="E38" s="80"/>
      <c r="F38" s="80"/>
      <c r="G38" s="80"/>
      <c r="H38" s="80"/>
      <c r="I38" s="72"/>
      <c r="J38" s="72"/>
      <c r="M38" s="39"/>
      <c r="P38" s="1"/>
      <c r="U38" s="1">
        <v>8</v>
      </c>
      <c r="V38" s="208">
        <f t="shared" si="14"/>
        <v>24.4501907143155</v>
      </c>
      <c r="W38" s="208">
        <f t="shared" si="15"/>
        <v>30.600768962817533</v>
      </c>
      <c r="X38" s="208">
        <f t="shared" si="16"/>
        <v>33.660845859099283</v>
      </c>
      <c r="Y38" s="208">
        <f t="shared" si="17"/>
        <v>37.026930445009214</v>
      </c>
      <c r="Z38" s="208">
        <f t="shared" si="18"/>
        <v>40.729623489510146</v>
      </c>
      <c r="AA38" s="208">
        <f t="shared" si="19"/>
        <v>44.802585838461155</v>
      </c>
    </row>
    <row r="39" spans="1:27" x14ac:dyDescent="0.2">
      <c r="O39" s="39"/>
      <c r="P39" s="1"/>
      <c r="U39" s="1">
        <v>9</v>
      </c>
      <c r="V39" s="208">
        <f t="shared" si="14"/>
        <v>25.061445482173387</v>
      </c>
      <c r="W39" s="208">
        <f t="shared" si="15"/>
        <v>31.365788186887968</v>
      </c>
      <c r="X39" s="208">
        <f t="shared" si="16"/>
        <v>34.502367005576758</v>
      </c>
      <c r="Y39" s="208">
        <f t="shared" si="17"/>
        <v>37.95260370613444</v>
      </c>
      <c r="Z39" s="208">
        <f t="shared" si="18"/>
        <v>41.747864076747895</v>
      </c>
      <c r="AA39" s="208">
        <f t="shared" si="19"/>
        <v>45.922650484422682</v>
      </c>
    </row>
    <row r="40" spans="1:27" x14ac:dyDescent="0.2">
      <c r="U40" s="1">
        <v>10</v>
      </c>
      <c r="V40" s="208">
        <f t="shared" si="14"/>
        <v>25.68798161922772</v>
      </c>
      <c r="W40" s="208">
        <f t="shared" si="15"/>
        <v>32.149932891560162</v>
      </c>
      <c r="X40" s="208">
        <f t="shared" si="16"/>
        <v>35.364926180716175</v>
      </c>
      <c r="Y40" s="208">
        <f t="shared" si="17"/>
        <v>38.901418798787795</v>
      </c>
      <c r="Z40" s="208">
        <f t="shared" si="18"/>
        <v>42.791560678666592</v>
      </c>
      <c r="AA40" s="208">
        <f t="shared" si="19"/>
        <v>47.070716746533243</v>
      </c>
    </row>
    <row r="41" spans="1:27" x14ac:dyDescent="0.2">
      <c r="U41" s="1">
        <v>11</v>
      </c>
      <c r="V41" s="208">
        <f t="shared" si="14"/>
        <v>26.33018115970841</v>
      </c>
      <c r="W41" s="208">
        <f t="shared" si="15"/>
        <v>32.953681213849165</v>
      </c>
      <c r="X41" s="208">
        <f t="shared" si="16"/>
        <v>36.249049335234076</v>
      </c>
      <c r="Y41" s="208">
        <f t="shared" si="17"/>
        <v>39.873954268757487</v>
      </c>
      <c r="Z41" s="208">
        <f t="shared" si="18"/>
        <v>43.861349695633251</v>
      </c>
      <c r="AA41" s="208">
        <f t="shared" si="19"/>
        <v>48.247484665196573</v>
      </c>
    </row>
    <row r="42" spans="1:27" x14ac:dyDescent="0.2">
      <c r="D42" s="82"/>
      <c r="U42" s="1">
        <v>12</v>
      </c>
      <c r="V42" s="208">
        <f t="shared" si="14"/>
        <v>26.988435688701117</v>
      </c>
      <c r="W42" s="208">
        <f t="shared" si="15"/>
        <v>33.777523244195393</v>
      </c>
      <c r="X42" s="208">
        <f t="shared" si="16"/>
        <v>37.155275568614925</v>
      </c>
      <c r="Y42" s="208">
        <f t="shared" si="17"/>
        <v>40.870803125476421</v>
      </c>
      <c r="Z42" s="208">
        <f t="shared" si="18"/>
        <v>44.957883438024076</v>
      </c>
      <c r="AA42" s="208">
        <f t="shared" si="19"/>
        <v>49.453671781826486</v>
      </c>
    </row>
    <row r="43" spans="1:27" x14ac:dyDescent="0.2">
      <c r="D43" s="82"/>
      <c r="G43" s="34"/>
      <c r="U43" s="1">
        <v>13</v>
      </c>
      <c r="V43" s="208">
        <f t="shared" si="14"/>
        <v>27.663146580918642</v>
      </c>
      <c r="W43" s="208">
        <f t="shared" si="15"/>
        <v>34.621961325300276</v>
      </c>
      <c r="X43" s="208">
        <f t="shared" si="16"/>
        <v>38.084157457830294</v>
      </c>
      <c r="Y43" s="208">
        <f t="shared" si="17"/>
        <v>41.892573203613331</v>
      </c>
      <c r="Z43" s="208">
        <f t="shared" si="18"/>
        <v>46.081830523974673</v>
      </c>
      <c r="AA43" s="208">
        <f t="shared" si="19"/>
        <v>50.690013576372145</v>
      </c>
    </row>
    <row r="44" spans="1:27" x14ac:dyDescent="0.2">
      <c r="D44" s="82"/>
      <c r="U44" s="1">
        <v>14</v>
      </c>
      <c r="V44" s="208">
        <f t="shared" si="14"/>
        <v>28.354725245441607</v>
      </c>
      <c r="W44" s="208">
        <f t="shared" si="15"/>
        <v>35.487510358432779</v>
      </c>
      <c r="X44" s="208">
        <f t="shared" si="16"/>
        <v>39.036261394276046</v>
      </c>
      <c r="Y44" s="208">
        <f t="shared" si="17"/>
        <v>42.939887533703661</v>
      </c>
      <c r="Z44" s="208">
        <f t="shared" si="18"/>
        <v>47.23387628707404</v>
      </c>
      <c r="AA44" s="208">
        <f t="shared" si="19"/>
        <v>51.957263915781446</v>
      </c>
    </row>
    <row r="45" spans="1:27" x14ac:dyDescent="0.2">
      <c r="U45" s="1">
        <v>15</v>
      </c>
      <c r="V45" s="208">
        <f t="shared" si="14"/>
        <v>29.063593376577643</v>
      </c>
      <c r="W45" s="208">
        <f t="shared" si="15"/>
        <v>36.374698117393592</v>
      </c>
      <c r="X45" s="208">
        <f t="shared" si="16"/>
        <v>40.012167929132943</v>
      </c>
      <c r="Y45" s="208">
        <f t="shared" si="17"/>
        <v>44.013384722046247</v>
      </c>
      <c r="Z45" s="208">
        <f t="shared" si="18"/>
        <v>48.41472319425089</v>
      </c>
      <c r="AA45" s="208">
        <f t="shared" si="19"/>
        <v>53.256195513675976</v>
      </c>
    </row>
    <row r="46" spans="1:27" x14ac:dyDescent="0.2">
      <c r="U46" s="1">
        <v>16</v>
      </c>
      <c r="V46" s="208">
        <f t="shared" si="14"/>
        <v>29.79018321099208</v>
      </c>
      <c r="W46" s="208">
        <f t="shared" si="15"/>
        <v>37.28406557032843</v>
      </c>
      <c r="X46" s="208">
        <f t="shared" si="16"/>
        <v>41.012472127361264</v>
      </c>
      <c r="Y46" s="208">
        <f t="shared" si="17"/>
        <v>45.113719340097397</v>
      </c>
      <c r="Z46" s="208">
        <f t="shared" si="18"/>
        <v>49.625091274107156</v>
      </c>
      <c r="AA46" s="208">
        <f t="shared" si="19"/>
        <v>54.587600401517868</v>
      </c>
    </row>
    <row r="47" spans="1:27" x14ac:dyDescent="0.2">
      <c r="U47" s="1">
        <v>17</v>
      </c>
      <c r="V47" s="208">
        <f t="shared" si="14"/>
        <v>30.534937791266881</v>
      </c>
      <c r="W47" s="208">
        <f t="shared" si="15"/>
        <v>38.216167209586636</v>
      </c>
      <c r="X47" s="208">
        <f t="shared" si="16"/>
        <v>42.037783930545288</v>
      </c>
      <c r="Y47" s="208">
        <f t="shared" si="17"/>
        <v>46.24156232359983</v>
      </c>
      <c r="Z47" s="208">
        <f t="shared" si="18"/>
        <v>50.86571855595983</v>
      </c>
      <c r="AA47" s="208">
        <f t="shared" si="19"/>
        <v>55.952290411555808</v>
      </c>
    </row>
    <row r="48" spans="1:27" x14ac:dyDescent="0.2">
      <c r="U48" s="1">
        <v>18</v>
      </c>
      <c r="V48" s="208">
        <f t="shared" si="14"/>
        <v>31.298311236048551</v>
      </c>
      <c r="W48" s="208">
        <f t="shared" si="15"/>
        <v>39.171571389826298</v>
      </c>
      <c r="X48" s="208">
        <f t="shared" si="16"/>
        <v>43.088728528808915</v>
      </c>
      <c r="Y48" s="208">
        <f t="shared" si="17"/>
        <v>47.397601381689825</v>
      </c>
      <c r="Z48" s="208">
        <f t="shared" si="18"/>
        <v>52.137361519858821</v>
      </c>
      <c r="AA48" s="208">
        <f t="shared" si="19"/>
        <v>57.351097671844698</v>
      </c>
    </row>
    <row r="49" spans="1:27" x14ac:dyDescent="0.2">
      <c r="U49" s="1">
        <v>19</v>
      </c>
      <c r="V49" s="208">
        <f t="shared" si="14"/>
        <v>32.080769016949759</v>
      </c>
      <c r="W49" s="208">
        <f t="shared" si="15"/>
        <v>40.150860674571952</v>
      </c>
      <c r="X49" s="208">
        <f t="shared" si="16"/>
        <v>44.165946742029135</v>
      </c>
      <c r="Y49" s="208">
        <f t="shared" si="17"/>
        <v>48.582541416232068</v>
      </c>
      <c r="Z49" s="208">
        <f t="shared" si="18"/>
        <v>53.440795557855289</v>
      </c>
      <c r="AA49" s="208">
        <f t="shared" si="19"/>
        <v>58.784875113640808</v>
      </c>
    </row>
    <row r="50" spans="1:27" x14ac:dyDescent="0.2">
      <c r="U50" s="1">
        <v>20</v>
      </c>
      <c r="V50" s="208">
        <f t="shared" si="14"/>
        <v>32.882788242373501</v>
      </c>
      <c r="W50" s="208">
        <f t="shared" si="15"/>
        <v>41.154632191436249</v>
      </c>
      <c r="X50" s="208">
        <f t="shared" si="16"/>
        <v>45.270095410579856</v>
      </c>
      <c r="Y50" s="208">
        <f t="shared" si="17"/>
        <v>49.797104951637863</v>
      </c>
      <c r="Z50" s="208">
        <f t="shared" si="18"/>
        <v>54.776815446801663</v>
      </c>
      <c r="AA50" s="208">
        <f t="shared" si="19"/>
        <v>60.254496991481822</v>
      </c>
    </row>
    <row r="53" spans="1:27" x14ac:dyDescent="0.2">
      <c r="A53" s="157"/>
      <c r="B53" s="157"/>
      <c r="H53" s="157"/>
    </row>
    <row r="54" spans="1:27" x14ac:dyDescent="0.2">
      <c r="B54" s="157"/>
      <c r="H54" s="157"/>
    </row>
    <row r="55" spans="1:27" x14ac:dyDescent="0.2">
      <c r="B55" s="157"/>
      <c r="H55" s="157"/>
    </row>
    <row r="56" spans="1:27" x14ac:dyDescent="0.2">
      <c r="B56" s="157"/>
      <c r="H56" s="157"/>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153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2" spans="1:26" ht="16.5" customHeight="1" x14ac:dyDescent="0.25">
      <c r="A2" s="222" t="s">
        <v>382</v>
      </c>
    </row>
    <row r="3" spans="1:26" ht="16.5" customHeight="1" x14ac:dyDescent="0.25">
      <c r="A3" s="12">
        <v>236</v>
      </c>
    </row>
    <row r="4" spans="1:26" ht="20.25" x14ac:dyDescent="0.3">
      <c r="A4" s="170"/>
      <c r="B4" s="170"/>
      <c r="C4" s="170"/>
      <c r="D4" s="170"/>
      <c r="E4" s="170"/>
      <c r="F4" s="170"/>
      <c r="G4" s="170"/>
      <c r="H4" s="170"/>
      <c r="I4" s="170"/>
      <c r="J4" s="170"/>
      <c r="K4" s="170"/>
      <c r="L4" s="170"/>
      <c r="M4" s="170"/>
      <c r="N4" s="170"/>
      <c r="O4" s="170"/>
    </row>
    <row r="5" spans="1:26" ht="15.75" x14ac:dyDescent="0.25">
      <c r="A5" s="314" t="s">
        <v>154</v>
      </c>
      <c r="B5" s="314"/>
      <c r="C5" s="314"/>
      <c r="E5" s="314" t="s">
        <v>155</v>
      </c>
      <c r="F5" s="314"/>
      <c r="G5" s="314"/>
      <c r="I5" s="314" t="s">
        <v>156</v>
      </c>
      <c r="J5" s="314"/>
      <c r="K5" s="314"/>
      <c r="M5" s="33" t="s">
        <v>157</v>
      </c>
      <c r="N5" s="33"/>
      <c r="O5" s="33"/>
    </row>
    <row r="6" spans="1:26" x14ac:dyDescent="0.25">
      <c r="A6" s="16" t="s">
        <v>158</v>
      </c>
      <c r="B6" s="16" t="s">
        <v>159</v>
      </c>
      <c r="C6" s="16" t="s">
        <v>160</v>
      </c>
      <c r="E6" s="16" t="s">
        <v>158</v>
      </c>
      <c r="F6" s="16" t="s">
        <v>159</v>
      </c>
      <c r="G6" s="16" t="s">
        <v>160</v>
      </c>
      <c r="I6" s="25" t="s">
        <v>161</v>
      </c>
      <c r="J6" s="16" t="s">
        <v>159</v>
      </c>
      <c r="K6" s="16" t="s">
        <v>160</v>
      </c>
      <c r="M6" s="25" t="s">
        <v>162</v>
      </c>
      <c r="N6" s="16" t="s">
        <v>159</v>
      </c>
      <c r="O6" s="16" t="s">
        <v>160</v>
      </c>
    </row>
    <row r="7" spans="1:26" x14ac:dyDescent="0.25">
      <c r="A7" s="17" t="s">
        <v>163</v>
      </c>
      <c r="B7" s="18">
        <v>0</v>
      </c>
      <c r="C7" s="19">
        <f>B7/A3</f>
        <v>0</v>
      </c>
      <c r="E7" s="23" t="s">
        <v>164</v>
      </c>
      <c r="F7" s="18"/>
      <c r="G7" s="19">
        <v>1.4999999999999999E-2</v>
      </c>
      <c r="I7" s="23" t="s">
        <v>165</v>
      </c>
      <c r="J7" s="18">
        <v>160</v>
      </c>
      <c r="K7" s="19">
        <f>J7/A3</f>
        <v>0.67796610169491522</v>
      </c>
      <c r="M7" s="23" t="s">
        <v>166</v>
      </c>
      <c r="N7" s="18">
        <v>4</v>
      </c>
      <c r="O7" s="19">
        <f>N7/A3</f>
        <v>1.6949152542372881E-2</v>
      </c>
    </row>
    <row r="8" spans="1:26" x14ac:dyDescent="0.25">
      <c r="A8" s="20" t="s">
        <v>167</v>
      </c>
      <c r="B8" s="21">
        <v>16</v>
      </c>
      <c r="C8" s="22">
        <f>B8/A3</f>
        <v>6.7796610169491525E-2</v>
      </c>
      <c r="E8" s="24" t="s">
        <v>168</v>
      </c>
      <c r="F8" s="21"/>
      <c r="G8" s="19">
        <v>0.125</v>
      </c>
      <c r="I8" s="24" t="s">
        <v>169</v>
      </c>
      <c r="J8" s="21">
        <v>7</v>
      </c>
      <c r="K8" s="19">
        <f>J8/A3</f>
        <v>2.9661016949152543E-2</v>
      </c>
      <c r="M8" s="24" t="s">
        <v>170</v>
      </c>
      <c r="N8" s="21">
        <v>232</v>
      </c>
      <c r="O8" s="22">
        <f>N8/A3</f>
        <v>0.98305084745762716</v>
      </c>
    </row>
    <row r="9" spans="1:26" x14ac:dyDescent="0.25">
      <c r="A9" s="20" t="s">
        <v>171</v>
      </c>
      <c r="B9" s="21">
        <v>48</v>
      </c>
      <c r="C9" s="22">
        <f>B9/A3</f>
        <v>0.20338983050847459</v>
      </c>
      <c r="E9" s="24" t="s">
        <v>172</v>
      </c>
      <c r="F9" s="21"/>
      <c r="G9" s="19">
        <v>0.20499999999999999</v>
      </c>
      <c r="I9" s="24" t="s">
        <v>173</v>
      </c>
      <c r="J9" s="21">
        <v>4</v>
      </c>
      <c r="K9" s="19">
        <f>J9/A3</f>
        <v>1.6949152542372881E-2</v>
      </c>
    </row>
    <row r="10" spans="1:26" x14ac:dyDescent="0.25">
      <c r="A10" s="20" t="s">
        <v>174</v>
      </c>
      <c r="B10" s="21">
        <v>45</v>
      </c>
      <c r="C10" s="22">
        <f>B10/A3</f>
        <v>0.19067796610169491</v>
      </c>
      <c r="E10" s="24" t="s">
        <v>175</v>
      </c>
      <c r="F10" s="21"/>
      <c r="G10" s="19">
        <v>0.13500000000000001</v>
      </c>
      <c r="I10" s="24" t="s">
        <v>176</v>
      </c>
      <c r="J10" s="21">
        <v>2</v>
      </c>
      <c r="K10" s="19">
        <f>J10/A3</f>
        <v>8.4745762711864406E-3</v>
      </c>
    </row>
    <row r="11" spans="1:26" x14ac:dyDescent="0.25">
      <c r="A11" s="20" t="s">
        <v>177</v>
      </c>
      <c r="B11" s="21">
        <v>34</v>
      </c>
      <c r="C11" s="22">
        <f>B11/A3</f>
        <v>0.1440677966101695</v>
      </c>
      <c r="E11" s="24" t="s">
        <v>178</v>
      </c>
      <c r="F11" s="21"/>
      <c r="G11" s="19">
        <v>0.35299999999999998</v>
      </c>
      <c r="I11" s="24" t="s">
        <v>179</v>
      </c>
      <c r="J11" s="21">
        <v>1</v>
      </c>
      <c r="K11" s="19">
        <f>J11/A3</f>
        <v>4.2372881355932203E-3</v>
      </c>
    </row>
    <row r="12" spans="1:26" x14ac:dyDescent="0.25">
      <c r="A12" s="20" t="s">
        <v>180</v>
      </c>
      <c r="B12" s="21">
        <v>24</v>
      </c>
      <c r="C12" s="22">
        <f>B12/A3</f>
        <v>0.10169491525423729</v>
      </c>
      <c r="E12" s="24" t="s">
        <v>181</v>
      </c>
      <c r="F12" s="21"/>
      <c r="G12" s="19">
        <v>0.154</v>
      </c>
      <c r="I12" s="24" t="s">
        <v>182</v>
      </c>
      <c r="J12" s="21">
        <v>0</v>
      </c>
      <c r="K12" s="19">
        <f>J12/A3</f>
        <v>0</v>
      </c>
    </row>
    <row r="13" spans="1:26" x14ac:dyDescent="0.25">
      <c r="A13" s="20" t="s">
        <v>183</v>
      </c>
      <c r="B13" s="21">
        <v>8</v>
      </c>
      <c r="C13" s="22">
        <f>B13/A3</f>
        <v>3.3898305084745763E-2</v>
      </c>
      <c r="E13" s="24" t="s">
        <v>184</v>
      </c>
      <c r="F13" s="21"/>
      <c r="G13" s="19">
        <v>1.2E-2</v>
      </c>
      <c r="I13" s="24" t="s">
        <v>185</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AB42" sqref="AB42"/>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7" width="7.5703125" bestFit="1" customWidth="1"/>
    <col min="18" max="18" width="7.710937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186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187</v>
      </c>
      <c r="B4" s="318"/>
      <c r="C4" s="318"/>
      <c r="D4" s="318"/>
      <c r="E4" s="318"/>
      <c r="F4" s="318"/>
      <c r="G4" s="318"/>
      <c r="H4" s="318"/>
    </row>
    <row r="5" spans="1:26" ht="36" customHeight="1" x14ac:dyDescent="0.25">
      <c r="A5" s="316" t="s">
        <v>188</v>
      </c>
      <c r="B5" s="317" t="s">
        <v>189</v>
      </c>
      <c r="C5" s="317" t="s">
        <v>190</v>
      </c>
      <c r="D5" s="317" t="s">
        <v>191</v>
      </c>
      <c r="E5" s="317" t="s">
        <v>192</v>
      </c>
      <c r="F5" s="317"/>
      <c r="G5" s="317" t="s">
        <v>193</v>
      </c>
      <c r="H5" s="317"/>
      <c r="P5"/>
      <c r="R5" s="10"/>
    </row>
    <row r="6" spans="1:26" ht="15.75" thickBot="1" x14ac:dyDescent="0.3">
      <c r="A6" s="316"/>
      <c r="B6" s="317"/>
      <c r="C6" s="317"/>
      <c r="D6" s="319"/>
      <c r="E6" s="162" t="s">
        <v>194</v>
      </c>
      <c r="F6" s="162" t="s">
        <v>195</v>
      </c>
      <c r="G6" s="162" t="s">
        <v>194</v>
      </c>
      <c r="H6" s="162" t="s">
        <v>195</v>
      </c>
      <c r="P6"/>
      <c r="R6" s="10"/>
    </row>
    <row r="7" spans="1:26" ht="15.75" thickBot="1" x14ac:dyDescent="0.3">
      <c r="A7" s="194" t="s">
        <v>196</v>
      </c>
      <c r="B7" s="195">
        <v>1</v>
      </c>
      <c r="C7" s="196">
        <f>'1A'!B11</f>
        <v>14.6</v>
      </c>
      <c r="D7" s="197" t="s">
        <v>59</v>
      </c>
      <c r="E7" s="198">
        <f t="shared" ref="E7:E12" si="0">W19-B19</f>
        <v>-26</v>
      </c>
      <c r="F7" s="199">
        <f t="shared" ref="F7:F12" si="1">W29</f>
        <v>-0.12935323383084577</v>
      </c>
      <c r="G7" s="200">
        <f>S38-B38</f>
        <v>5.3899999999999988</v>
      </c>
      <c r="H7" s="201">
        <f t="shared" ref="H7:H12" si="2">S48</f>
        <v>0.58523344191096616</v>
      </c>
      <c r="P7"/>
      <c r="R7" s="10"/>
    </row>
    <row r="8" spans="1:26" ht="15.75" thickTop="1" x14ac:dyDescent="0.25">
      <c r="A8" s="177" t="s">
        <v>197</v>
      </c>
      <c r="B8" s="171">
        <v>0.97</v>
      </c>
      <c r="C8" s="184">
        <f>S39</f>
        <v>28.64</v>
      </c>
      <c r="D8" s="203">
        <f>C8-C7</f>
        <v>14.040000000000001</v>
      </c>
      <c r="E8" s="173">
        <f t="shared" si="0"/>
        <v>-58</v>
      </c>
      <c r="F8" s="172">
        <f t="shared" si="1"/>
        <v>-0.8529411764705882</v>
      </c>
      <c r="G8" s="175">
        <f t="shared" ref="G8:G12" si="3">S39-B39</f>
        <v>5.2899999999999991</v>
      </c>
      <c r="H8" s="176">
        <f t="shared" si="2"/>
        <v>0.22655246252676656</v>
      </c>
      <c r="P8"/>
      <c r="R8" s="10"/>
    </row>
    <row r="9" spans="1:26" x14ac:dyDescent="0.25">
      <c r="A9" s="177" t="s">
        <v>198</v>
      </c>
      <c r="B9" s="163">
        <v>0.96</v>
      </c>
      <c r="C9" s="184">
        <f t="shared" ref="C9:C12" si="4">S40</f>
        <v>20.16</v>
      </c>
      <c r="D9" s="203">
        <f>C9-C7</f>
        <v>5.5600000000000005</v>
      </c>
      <c r="E9" s="173">
        <f t="shared" si="0"/>
        <v>40</v>
      </c>
      <c r="F9" s="172">
        <f t="shared" si="1"/>
        <v>0.63492063492063489</v>
      </c>
      <c r="G9" s="174">
        <f t="shared" si="3"/>
        <v>4.2300000000000004</v>
      </c>
      <c r="H9" s="176">
        <f>S50</f>
        <v>0.26553672316384186</v>
      </c>
      <c r="P9"/>
      <c r="R9" s="10"/>
    </row>
    <row r="10" spans="1:26" x14ac:dyDescent="0.25">
      <c r="A10" s="177" t="s">
        <v>199</v>
      </c>
      <c r="B10" s="163">
        <v>0.93</v>
      </c>
      <c r="C10" s="184">
        <f t="shared" si="4"/>
        <v>16.510000000000002</v>
      </c>
      <c r="D10" s="209">
        <f>C10-C7</f>
        <v>1.9100000000000019</v>
      </c>
      <c r="E10" s="173">
        <f t="shared" si="0"/>
        <v>-295</v>
      </c>
      <c r="F10" s="172">
        <f t="shared" si="1"/>
        <v>-0.47351524879614765</v>
      </c>
      <c r="G10" s="174">
        <f t="shared" si="3"/>
        <v>6.2200000000000024</v>
      </c>
      <c r="H10" s="176">
        <f t="shared" si="2"/>
        <v>0.6044703595724007</v>
      </c>
      <c r="P10"/>
      <c r="R10" s="10"/>
    </row>
    <row r="11" spans="1:26" x14ac:dyDescent="0.25">
      <c r="A11" s="177" t="s">
        <v>200</v>
      </c>
      <c r="B11" s="163">
        <v>0.93</v>
      </c>
      <c r="C11" s="184">
        <f t="shared" si="4"/>
        <v>20.11</v>
      </c>
      <c r="D11" s="203">
        <f>C11-C7</f>
        <v>5.51</v>
      </c>
      <c r="E11" s="173">
        <f t="shared" si="0"/>
        <v>-11</v>
      </c>
      <c r="F11" s="172">
        <f t="shared" si="1"/>
        <v>-0.52380952380952384</v>
      </c>
      <c r="G11" s="174">
        <f t="shared" si="3"/>
        <v>7.99</v>
      </c>
      <c r="H11" s="176">
        <f t="shared" si="2"/>
        <v>0.65924092409240931</v>
      </c>
      <c r="P11"/>
      <c r="R11" s="10"/>
    </row>
    <row r="12" spans="1:26" ht="15.75" thickBot="1" x14ac:dyDescent="0.3">
      <c r="A12" s="178" t="s">
        <v>201</v>
      </c>
      <c r="B12" s="179">
        <v>0.92</v>
      </c>
      <c r="C12" s="185">
        <f t="shared" si="4"/>
        <v>18.34</v>
      </c>
      <c r="D12" s="204">
        <f>C12-C7</f>
        <v>3.74</v>
      </c>
      <c r="E12" s="180">
        <f t="shared" si="0"/>
        <v>-688</v>
      </c>
      <c r="F12" s="181">
        <f t="shared" si="1"/>
        <v>-0.19685264663805435</v>
      </c>
      <c r="G12" s="182">
        <f t="shared" si="3"/>
        <v>6.9399999999999995</v>
      </c>
      <c r="H12" s="183">
        <f t="shared" si="2"/>
        <v>0.6087719298245613</v>
      </c>
      <c r="P12"/>
      <c r="R12" s="10"/>
    </row>
    <row r="13" spans="1:26" x14ac:dyDescent="0.25">
      <c r="A13" s="1"/>
      <c r="B13" s="34"/>
      <c r="C13" s="35"/>
      <c r="D13" s="35"/>
    </row>
    <row r="14" spans="1:26" x14ac:dyDescent="0.25">
      <c r="G14" s="214"/>
    </row>
    <row r="15" spans="1:26" x14ac:dyDescent="0.25">
      <c r="G15" s="214"/>
    </row>
    <row r="17" spans="1:26" ht="15.75" x14ac:dyDescent="0.25">
      <c r="A17" s="315" t="s">
        <v>202</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88" t="s">
        <v>188</v>
      </c>
      <c r="B18" s="189">
        <v>2001</v>
      </c>
      <c r="C18" s="189">
        <v>2002</v>
      </c>
      <c r="D18" s="189">
        <v>2003</v>
      </c>
      <c r="E18" s="189">
        <v>2004</v>
      </c>
      <c r="F18" s="189">
        <v>2005</v>
      </c>
      <c r="G18" s="189">
        <v>2006</v>
      </c>
      <c r="H18" s="189">
        <v>2007</v>
      </c>
      <c r="I18" s="189">
        <v>2008</v>
      </c>
      <c r="J18" s="189">
        <v>2009</v>
      </c>
      <c r="K18" s="189">
        <v>2010</v>
      </c>
      <c r="L18" s="189">
        <v>2011</v>
      </c>
      <c r="M18" s="189">
        <v>2012</v>
      </c>
      <c r="N18" s="189">
        <v>2013</v>
      </c>
      <c r="O18" s="189">
        <v>2014</v>
      </c>
      <c r="P18" s="189">
        <v>2015</v>
      </c>
      <c r="Q18" s="189">
        <v>2016</v>
      </c>
      <c r="R18" s="189">
        <v>2017</v>
      </c>
      <c r="S18" s="189">
        <v>2018</v>
      </c>
      <c r="T18" s="189">
        <v>2019</v>
      </c>
      <c r="U18" s="189">
        <v>2020</v>
      </c>
      <c r="V18" s="189">
        <v>2021</v>
      </c>
      <c r="W18" s="189">
        <v>2022</v>
      </c>
    </row>
    <row r="19" spans="1:26" ht="15.75" thickBot="1" x14ac:dyDescent="0.3">
      <c r="A19" s="164" t="s">
        <v>196</v>
      </c>
      <c r="B19" s="165">
        <v>201</v>
      </c>
      <c r="C19" s="165">
        <v>206</v>
      </c>
      <c r="D19" s="165">
        <v>208</v>
      </c>
      <c r="E19" s="165">
        <v>203</v>
      </c>
      <c r="F19" s="165">
        <v>201</v>
      </c>
      <c r="G19" s="165">
        <v>230</v>
      </c>
      <c r="H19" s="165">
        <v>233</v>
      </c>
      <c r="I19" s="165">
        <v>252</v>
      </c>
      <c r="J19" s="165">
        <v>275</v>
      </c>
      <c r="K19" s="165">
        <v>293</v>
      </c>
      <c r="L19" s="165">
        <v>280</v>
      </c>
      <c r="M19" s="165">
        <v>269</v>
      </c>
      <c r="N19" s="165">
        <v>280</v>
      </c>
      <c r="O19" s="165">
        <v>291</v>
      </c>
      <c r="P19" s="165">
        <v>307</v>
      </c>
      <c r="Q19" s="165">
        <v>330</v>
      </c>
      <c r="R19" s="165">
        <v>367</v>
      </c>
      <c r="S19" s="165">
        <v>357</v>
      </c>
      <c r="T19" s="165">
        <v>354</v>
      </c>
      <c r="U19" s="165">
        <v>229</v>
      </c>
      <c r="V19" s="165">
        <v>185</v>
      </c>
      <c r="W19" s="165">
        <v>175</v>
      </c>
    </row>
    <row r="20" spans="1:26" ht="15.75" thickTop="1" x14ac:dyDescent="0.25">
      <c r="A20" s="142" t="s">
        <v>197</v>
      </c>
      <c r="B20" s="143">
        <v>68</v>
      </c>
      <c r="C20" s="143">
        <v>75</v>
      </c>
      <c r="D20" s="143">
        <v>67</v>
      </c>
      <c r="E20" s="143">
        <v>66</v>
      </c>
      <c r="F20" s="143">
        <v>66</v>
      </c>
      <c r="G20" s="143">
        <v>52</v>
      </c>
      <c r="H20" s="143">
        <v>56</v>
      </c>
      <c r="I20" s="143">
        <v>59</v>
      </c>
      <c r="J20" s="143">
        <v>67</v>
      </c>
      <c r="K20" s="143">
        <v>70</v>
      </c>
      <c r="L20" s="143">
        <v>71</v>
      </c>
      <c r="M20" s="143">
        <v>69</v>
      </c>
      <c r="N20" s="143">
        <v>71</v>
      </c>
      <c r="O20" s="143">
        <v>66</v>
      </c>
      <c r="P20" s="143">
        <v>64</v>
      </c>
      <c r="Q20" s="143">
        <v>43</v>
      </c>
      <c r="R20" s="143">
        <v>10</v>
      </c>
      <c r="S20" s="143">
        <v>10</v>
      </c>
      <c r="T20" s="143">
        <v>10</v>
      </c>
      <c r="U20" s="143">
        <v>10</v>
      </c>
      <c r="V20" s="143">
        <v>10</v>
      </c>
      <c r="W20" s="143">
        <v>10</v>
      </c>
    </row>
    <row r="21" spans="1:26" x14ac:dyDescent="0.25">
      <c r="A21" s="142" t="s">
        <v>198</v>
      </c>
      <c r="B21" s="143">
        <v>63</v>
      </c>
      <c r="C21" s="143">
        <v>67</v>
      </c>
      <c r="D21" s="143">
        <v>66</v>
      </c>
      <c r="E21" s="143">
        <v>72</v>
      </c>
      <c r="F21" s="143">
        <v>71</v>
      </c>
      <c r="G21" s="143">
        <v>79</v>
      </c>
      <c r="H21" s="143">
        <v>79</v>
      </c>
      <c r="I21" s="143">
        <v>76</v>
      </c>
      <c r="J21" s="143">
        <v>71</v>
      </c>
      <c r="K21" s="143">
        <v>69</v>
      </c>
      <c r="L21" s="143">
        <v>78</v>
      </c>
      <c r="M21" s="143">
        <v>77</v>
      </c>
      <c r="N21" s="143">
        <v>83</v>
      </c>
      <c r="O21" s="143">
        <v>88</v>
      </c>
      <c r="P21" s="143">
        <v>94</v>
      </c>
      <c r="Q21" s="143">
        <v>105</v>
      </c>
      <c r="R21" s="143">
        <v>119</v>
      </c>
      <c r="S21" s="143">
        <v>116</v>
      </c>
      <c r="T21" s="143">
        <v>107</v>
      </c>
      <c r="U21" s="143">
        <v>93</v>
      </c>
      <c r="V21" s="143">
        <v>92</v>
      </c>
      <c r="W21" s="143">
        <v>103</v>
      </c>
    </row>
    <row r="22" spans="1:26" x14ac:dyDescent="0.25">
      <c r="A22" s="142" t="s">
        <v>199</v>
      </c>
      <c r="B22" s="143">
        <v>623</v>
      </c>
      <c r="C22" s="143">
        <v>641</v>
      </c>
      <c r="D22" s="143">
        <v>647</v>
      </c>
      <c r="E22" s="143">
        <v>647</v>
      </c>
      <c r="F22" s="143">
        <v>643</v>
      </c>
      <c r="G22" s="143">
        <v>641</v>
      </c>
      <c r="H22" s="143">
        <v>650</v>
      </c>
      <c r="I22" s="143">
        <v>635</v>
      </c>
      <c r="J22" s="143">
        <v>624</v>
      </c>
      <c r="K22" s="143">
        <v>629</v>
      </c>
      <c r="L22" s="143">
        <v>650</v>
      </c>
      <c r="M22" s="143">
        <v>677</v>
      </c>
      <c r="N22" s="143">
        <v>688</v>
      </c>
      <c r="O22" s="143">
        <v>703</v>
      </c>
      <c r="P22" s="143">
        <v>702</v>
      </c>
      <c r="Q22" s="143">
        <v>726</v>
      </c>
      <c r="R22" s="143">
        <v>696</v>
      </c>
      <c r="S22" s="143">
        <v>573</v>
      </c>
      <c r="T22" s="143">
        <v>513</v>
      </c>
      <c r="U22" s="143">
        <v>470</v>
      </c>
      <c r="V22" s="143">
        <v>370</v>
      </c>
      <c r="W22" s="143">
        <v>328</v>
      </c>
    </row>
    <row r="23" spans="1:26" x14ac:dyDescent="0.25">
      <c r="A23" s="142" t="s">
        <v>200</v>
      </c>
      <c r="B23" s="143">
        <v>21</v>
      </c>
      <c r="C23" s="143">
        <v>21</v>
      </c>
      <c r="D23" s="143">
        <v>21</v>
      </c>
      <c r="E23" s="143">
        <v>22</v>
      </c>
      <c r="F23" s="143">
        <v>24</v>
      </c>
      <c r="G23" s="143">
        <v>25</v>
      </c>
      <c r="H23" s="143">
        <v>25</v>
      </c>
      <c r="I23" s="143">
        <v>23</v>
      </c>
      <c r="J23" s="143">
        <v>26</v>
      </c>
      <c r="K23" s="143">
        <v>24</v>
      </c>
      <c r="L23" s="143">
        <v>30</v>
      </c>
      <c r="M23" s="143">
        <v>32</v>
      </c>
      <c r="N23" s="143">
        <v>36</v>
      </c>
      <c r="O23" s="143">
        <v>34</v>
      </c>
      <c r="P23" s="143">
        <v>31</v>
      </c>
      <c r="Q23" s="143">
        <v>31</v>
      </c>
      <c r="R23" s="143">
        <v>35</v>
      </c>
      <c r="S23" s="143">
        <v>36</v>
      </c>
      <c r="T23" s="143">
        <v>26</v>
      </c>
      <c r="U23" s="143">
        <v>22</v>
      </c>
      <c r="V23" s="143">
        <v>10</v>
      </c>
      <c r="W23" s="143">
        <v>10</v>
      </c>
    </row>
    <row r="24" spans="1:26" x14ac:dyDescent="0.25">
      <c r="A24" s="142" t="s">
        <v>201</v>
      </c>
      <c r="B24" s="145">
        <v>3495</v>
      </c>
      <c r="C24" s="145">
        <v>3484</v>
      </c>
      <c r="D24" s="145">
        <v>3437</v>
      </c>
      <c r="E24" s="145">
        <v>3458</v>
      </c>
      <c r="F24" s="145">
        <v>3469</v>
      </c>
      <c r="G24" s="145">
        <v>3524</v>
      </c>
      <c r="H24" s="145">
        <v>3466</v>
      </c>
      <c r="I24" s="145">
        <v>3356</v>
      </c>
      <c r="J24" s="145">
        <v>3227</v>
      </c>
      <c r="K24" s="145">
        <v>3293</v>
      </c>
      <c r="L24" s="145">
        <v>3344</v>
      </c>
      <c r="M24" s="145">
        <v>3234</v>
      </c>
      <c r="N24" s="145">
        <v>3159</v>
      </c>
      <c r="O24" s="145">
        <v>3173</v>
      </c>
      <c r="P24" s="145">
        <v>3198</v>
      </c>
      <c r="Q24" s="145">
        <v>3264</v>
      </c>
      <c r="R24" s="145">
        <v>3366</v>
      </c>
      <c r="S24" s="145">
        <v>3450</v>
      </c>
      <c r="T24" s="145">
        <v>3571</v>
      </c>
      <c r="U24" s="145">
        <v>3192</v>
      </c>
      <c r="V24" s="145">
        <v>2990</v>
      </c>
      <c r="W24" s="145">
        <v>2807</v>
      </c>
    </row>
    <row r="25" spans="1:26" x14ac:dyDescent="0.25">
      <c r="A25" s="141"/>
      <c r="B25" s="141"/>
      <c r="C25" s="141"/>
      <c r="D25" s="141"/>
      <c r="E25" s="141"/>
      <c r="F25" s="141"/>
      <c r="G25" s="141"/>
      <c r="H25" s="141"/>
      <c r="I25" s="141"/>
      <c r="J25" s="141"/>
      <c r="K25" s="141"/>
      <c r="L25" s="141"/>
      <c r="M25" s="141"/>
      <c r="N25" s="141"/>
      <c r="O25" s="141"/>
      <c r="P25" s="141"/>
      <c r="Q25" s="141"/>
      <c r="R25" s="141"/>
      <c r="S25" s="141"/>
      <c r="T25" s="141"/>
      <c r="U25" s="141"/>
      <c r="V25" s="141"/>
      <c r="W25" s="141"/>
    </row>
    <row r="26" spans="1:26" x14ac:dyDescent="0.25">
      <c r="A26" s="141"/>
      <c r="B26" s="141"/>
      <c r="C26" s="141"/>
      <c r="D26" s="141"/>
      <c r="E26" s="141"/>
      <c r="F26" s="141"/>
      <c r="G26" s="141"/>
      <c r="H26" s="141"/>
      <c r="I26" s="141"/>
      <c r="J26" s="141"/>
      <c r="K26" s="141"/>
      <c r="L26" s="141"/>
      <c r="M26" s="141"/>
      <c r="N26" s="141"/>
      <c r="O26" s="141"/>
      <c r="P26" s="141"/>
      <c r="Q26" s="141"/>
      <c r="R26" s="141"/>
      <c r="S26" s="141"/>
      <c r="T26" s="141"/>
      <c r="U26" s="141"/>
      <c r="V26" s="141"/>
      <c r="W26" s="141"/>
    </row>
    <row r="27" spans="1:26" ht="15.75" x14ac:dyDescent="0.25">
      <c r="A27" s="315" t="s">
        <v>203</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88" t="s">
        <v>188</v>
      </c>
      <c r="B28" s="189">
        <v>2001</v>
      </c>
      <c r="C28" s="189">
        <v>2002</v>
      </c>
      <c r="D28" s="189">
        <v>2003</v>
      </c>
      <c r="E28" s="189">
        <v>2004</v>
      </c>
      <c r="F28" s="189">
        <v>2005</v>
      </c>
      <c r="G28" s="189">
        <v>2006</v>
      </c>
      <c r="H28" s="189">
        <v>2007</v>
      </c>
      <c r="I28" s="189">
        <v>2008</v>
      </c>
      <c r="J28" s="189">
        <v>2009</v>
      </c>
      <c r="K28" s="189">
        <v>2010</v>
      </c>
      <c r="L28" s="189">
        <v>2011</v>
      </c>
      <c r="M28" s="189">
        <v>2012</v>
      </c>
      <c r="N28" s="189">
        <v>2013</v>
      </c>
      <c r="O28" s="189">
        <v>2014</v>
      </c>
      <c r="P28" s="189">
        <v>2015</v>
      </c>
      <c r="Q28" s="189">
        <v>2016</v>
      </c>
      <c r="R28" s="189">
        <v>2017</v>
      </c>
      <c r="S28" s="189">
        <v>2018</v>
      </c>
      <c r="T28" s="189">
        <v>2019</v>
      </c>
      <c r="U28" s="189">
        <v>2020</v>
      </c>
      <c r="V28" s="189">
        <v>2021</v>
      </c>
      <c r="W28" s="189">
        <v>2022</v>
      </c>
    </row>
    <row r="29" spans="1:26" ht="15.75" thickBot="1" x14ac:dyDescent="0.3">
      <c r="A29" s="164" t="s">
        <v>196</v>
      </c>
      <c r="B29" s="166">
        <f t="shared" ref="B29:B34" si="5">(B19-B19)/B19</f>
        <v>0</v>
      </c>
      <c r="C29" s="166">
        <f t="shared" ref="C29:C34" si="6">(C19-B19)/B19</f>
        <v>2.4875621890547265E-2</v>
      </c>
      <c r="D29" s="166">
        <f>(D19-B19)/B19</f>
        <v>3.482587064676617E-2</v>
      </c>
      <c r="E29" s="166">
        <f t="shared" ref="E29:E34" si="7">(E19-B19)/B19</f>
        <v>9.9502487562189053E-3</v>
      </c>
      <c r="F29" s="166">
        <f t="shared" ref="F29:F34" si="8">(F19-B19)/B19</f>
        <v>0</v>
      </c>
      <c r="G29" s="166">
        <f t="shared" ref="G29:G34" si="9">(G19-B19)/B19</f>
        <v>0.14427860696517414</v>
      </c>
      <c r="H29" s="166">
        <f t="shared" ref="H29:H34" si="10">(H19-B19)/B19</f>
        <v>0.15920398009950248</v>
      </c>
      <c r="I29" s="166">
        <f t="shared" ref="I29:I34" si="11">(I19-B19)/B19</f>
        <v>0.2537313432835821</v>
      </c>
      <c r="J29" s="166">
        <f t="shared" ref="J29:J34" si="12">(J19-B19)/B19</f>
        <v>0.36815920398009949</v>
      </c>
      <c r="K29" s="166">
        <f t="shared" ref="K29:K34" si="13">(K19-B19)/B19</f>
        <v>0.45771144278606968</v>
      </c>
      <c r="L29" s="166">
        <f t="shared" ref="L29:L34" si="14">(L19-B19)/B19</f>
        <v>0.39303482587064675</v>
      </c>
      <c r="M29" s="166">
        <f t="shared" ref="M29:M34" si="15">(M19-B19)/B19</f>
        <v>0.3383084577114428</v>
      </c>
      <c r="N29" s="166">
        <f t="shared" ref="N29:N34" si="16">(N19-B19)/B19</f>
        <v>0.39303482587064675</v>
      </c>
      <c r="O29" s="166">
        <f t="shared" ref="O29:O34" si="17">(O19-B19)/B19</f>
        <v>0.44776119402985076</v>
      </c>
      <c r="P29" s="166">
        <f t="shared" ref="P29:P34" si="18">(P19-B19)/B19</f>
        <v>0.52736318407960203</v>
      </c>
      <c r="Q29" s="166">
        <f t="shared" ref="Q29:Q34" si="19">(Q19-B19)/B19</f>
        <v>0.64179104477611937</v>
      </c>
      <c r="R29" s="166">
        <f t="shared" ref="R29:R34" si="20">(R19-B19)/B19</f>
        <v>0.82587064676616917</v>
      </c>
      <c r="S29" s="166">
        <f t="shared" ref="S29:S34" si="21">(S19-B19)/B19</f>
        <v>0.77611940298507465</v>
      </c>
      <c r="T29" s="166">
        <f t="shared" ref="T29:T34" si="22">(T19-B19)/B19</f>
        <v>0.76119402985074625</v>
      </c>
      <c r="U29" s="166">
        <f t="shared" ref="U29:U34" si="23">(U19-B19)/B19</f>
        <v>0.13930348258706468</v>
      </c>
      <c r="V29" s="166">
        <f t="shared" ref="V29:V34" si="24">(V19-B19)/B19</f>
        <v>-7.9601990049751242E-2</v>
      </c>
      <c r="W29" s="166">
        <f t="shared" ref="W29:W34" si="25">(W19-B19)/B19</f>
        <v>-0.12935323383084577</v>
      </c>
      <c r="Y29" s="214" t="s">
        <v>198</v>
      </c>
      <c r="Z29" s="215">
        <v>1.52</v>
      </c>
    </row>
    <row r="30" spans="1:26" ht="15.75" thickTop="1" x14ac:dyDescent="0.25">
      <c r="A30" s="142" t="s">
        <v>197</v>
      </c>
      <c r="B30" s="146">
        <f t="shared" si="5"/>
        <v>0</v>
      </c>
      <c r="C30" s="146">
        <f t="shared" si="6"/>
        <v>0.10294117647058823</v>
      </c>
      <c r="D30" s="146">
        <f t="shared" ref="D30:D34" si="26">(D20-B20)/B20</f>
        <v>-1.4705882352941176E-2</v>
      </c>
      <c r="E30" s="146">
        <f t="shared" si="7"/>
        <v>-2.9411764705882353E-2</v>
      </c>
      <c r="F30" s="146">
        <f t="shared" si="8"/>
        <v>-2.9411764705882353E-2</v>
      </c>
      <c r="G30" s="146">
        <f t="shared" si="9"/>
        <v>-0.23529411764705882</v>
      </c>
      <c r="H30" s="146">
        <f t="shared" si="10"/>
        <v>-0.17647058823529413</v>
      </c>
      <c r="I30" s="146">
        <f t="shared" si="11"/>
        <v>-0.13235294117647059</v>
      </c>
      <c r="J30" s="146">
        <f t="shared" si="12"/>
        <v>-1.4705882352941176E-2</v>
      </c>
      <c r="K30" s="146">
        <f t="shared" si="13"/>
        <v>2.9411764705882353E-2</v>
      </c>
      <c r="L30" s="146">
        <f t="shared" si="14"/>
        <v>4.4117647058823532E-2</v>
      </c>
      <c r="M30" s="146">
        <f t="shared" si="15"/>
        <v>1.4705882352941176E-2</v>
      </c>
      <c r="N30" s="146">
        <f t="shared" si="16"/>
        <v>4.4117647058823532E-2</v>
      </c>
      <c r="O30" s="146">
        <f t="shared" si="17"/>
        <v>-2.9411764705882353E-2</v>
      </c>
      <c r="P30" s="146">
        <f t="shared" si="18"/>
        <v>-5.8823529411764705E-2</v>
      </c>
      <c r="Q30" s="146">
        <f t="shared" si="19"/>
        <v>-0.36764705882352944</v>
      </c>
      <c r="R30" s="146">
        <f t="shared" si="20"/>
        <v>-0.8529411764705882</v>
      </c>
      <c r="S30" s="146">
        <f t="shared" si="21"/>
        <v>-0.8529411764705882</v>
      </c>
      <c r="T30" s="146">
        <f t="shared" si="22"/>
        <v>-0.8529411764705882</v>
      </c>
      <c r="U30" s="146">
        <f t="shared" si="23"/>
        <v>-0.8529411764705882</v>
      </c>
      <c r="V30" s="146">
        <f t="shared" si="24"/>
        <v>-0.8529411764705882</v>
      </c>
      <c r="W30" s="146">
        <f t="shared" si="25"/>
        <v>-0.8529411764705882</v>
      </c>
      <c r="Y30" s="214" t="s">
        <v>197</v>
      </c>
      <c r="Z30" s="215">
        <v>5.2899999999999991</v>
      </c>
    </row>
    <row r="31" spans="1:26" x14ac:dyDescent="0.25">
      <c r="A31" s="142" t="s">
        <v>198</v>
      </c>
      <c r="B31" s="146">
        <f t="shared" si="5"/>
        <v>0</v>
      </c>
      <c r="C31" s="146">
        <f t="shared" si="6"/>
        <v>6.3492063492063489E-2</v>
      </c>
      <c r="D31" s="146">
        <f t="shared" si="26"/>
        <v>4.7619047619047616E-2</v>
      </c>
      <c r="E31" s="146">
        <f t="shared" si="7"/>
        <v>0.14285714285714285</v>
      </c>
      <c r="F31" s="146">
        <f t="shared" si="8"/>
        <v>0.12698412698412698</v>
      </c>
      <c r="G31" s="146">
        <f t="shared" si="9"/>
        <v>0.25396825396825395</v>
      </c>
      <c r="H31" s="146">
        <f t="shared" si="10"/>
        <v>0.25396825396825395</v>
      </c>
      <c r="I31" s="146">
        <f t="shared" si="11"/>
        <v>0.20634920634920634</v>
      </c>
      <c r="J31" s="146">
        <f t="shared" si="12"/>
        <v>0.12698412698412698</v>
      </c>
      <c r="K31" s="146">
        <f t="shared" si="13"/>
        <v>9.5238095238095233E-2</v>
      </c>
      <c r="L31" s="146">
        <f t="shared" si="14"/>
        <v>0.23809523809523808</v>
      </c>
      <c r="M31" s="146">
        <f t="shared" si="15"/>
        <v>0.22222222222222221</v>
      </c>
      <c r="N31" s="146">
        <f t="shared" si="16"/>
        <v>0.31746031746031744</v>
      </c>
      <c r="O31" s="146">
        <f t="shared" si="17"/>
        <v>0.3968253968253968</v>
      </c>
      <c r="P31" s="146">
        <f t="shared" si="18"/>
        <v>0.49206349206349204</v>
      </c>
      <c r="Q31" s="146">
        <f t="shared" si="19"/>
        <v>0.66666666666666663</v>
      </c>
      <c r="R31" s="146">
        <f t="shared" si="20"/>
        <v>0.88888888888888884</v>
      </c>
      <c r="S31" s="146">
        <f t="shared" si="21"/>
        <v>0.84126984126984128</v>
      </c>
      <c r="T31" s="146">
        <f t="shared" si="22"/>
        <v>0.69841269841269837</v>
      </c>
      <c r="U31" s="146">
        <f t="shared" si="23"/>
        <v>0.47619047619047616</v>
      </c>
      <c r="V31" s="146">
        <f t="shared" si="24"/>
        <v>0.46031746031746029</v>
      </c>
      <c r="W31" s="146">
        <f t="shared" si="25"/>
        <v>0.63492063492063489</v>
      </c>
      <c r="Y31" s="214" t="s">
        <v>196</v>
      </c>
      <c r="Z31" s="215">
        <v>5.39</v>
      </c>
    </row>
    <row r="32" spans="1:26" x14ac:dyDescent="0.25">
      <c r="A32" s="142" t="s">
        <v>199</v>
      </c>
      <c r="B32" s="146">
        <f t="shared" si="5"/>
        <v>0</v>
      </c>
      <c r="C32" s="146">
        <f t="shared" si="6"/>
        <v>2.8892455858747994E-2</v>
      </c>
      <c r="D32" s="146">
        <f t="shared" si="26"/>
        <v>3.8523274478330656E-2</v>
      </c>
      <c r="E32" s="146">
        <f t="shared" si="7"/>
        <v>3.8523274478330656E-2</v>
      </c>
      <c r="F32" s="146">
        <f t="shared" si="8"/>
        <v>3.2102728731942212E-2</v>
      </c>
      <c r="G32" s="146">
        <f t="shared" si="9"/>
        <v>2.8892455858747994E-2</v>
      </c>
      <c r="H32" s="146">
        <f t="shared" si="10"/>
        <v>4.3338683788121987E-2</v>
      </c>
      <c r="I32" s="146">
        <f t="shared" si="11"/>
        <v>1.9261637239165328E-2</v>
      </c>
      <c r="J32" s="146">
        <f t="shared" si="12"/>
        <v>1.6051364365971107E-3</v>
      </c>
      <c r="K32" s="146">
        <f t="shared" si="13"/>
        <v>9.630818619582664E-3</v>
      </c>
      <c r="L32" s="146">
        <f t="shared" si="14"/>
        <v>4.3338683788121987E-2</v>
      </c>
      <c r="M32" s="146">
        <f t="shared" si="15"/>
        <v>8.6677367576243974E-2</v>
      </c>
      <c r="N32" s="146">
        <f t="shared" si="16"/>
        <v>0.1043338683788122</v>
      </c>
      <c r="O32" s="146">
        <f t="shared" si="17"/>
        <v>0.12841091492776885</v>
      </c>
      <c r="P32" s="146">
        <f t="shared" si="18"/>
        <v>0.12680577849117175</v>
      </c>
      <c r="Q32" s="146">
        <f t="shared" si="19"/>
        <v>0.1653290529695024</v>
      </c>
      <c r="R32" s="146">
        <f t="shared" si="20"/>
        <v>0.11717495987158909</v>
      </c>
      <c r="S32" s="146">
        <f t="shared" si="21"/>
        <v>-8.0256821829855537E-2</v>
      </c>
      <c r="T32" s="146">
        <f t="shared" si="22"/>
        <v>-0.17656500802568217</v>
      </c>
      <c r="U32" s="146">
        <f t="shared" si="23"/>
        <v>-0.24558587479935795</v>
      </c>
      <c r="V32" s="146">
        <f t="shared" si="24"/>
        <v>-0.406099518459069</v>
      </c>
      <c r="W32" s="146">
        <f t="shared" si="25"/>
        <v>-0.47351524879614765</v>
      </c>
      <c r="Y32" s="214" t="s">
        <v>199</v>
      </c>
      <c r="Z32" s="215">
        <v>5.73</v>
      </c>
    </row>
    <row r="33" spans="1:26" x14ac:dyDescent="0.25">
      <c r="A33" s="142" t="s">
        <v>200</v>
      </c>
      <c r="B33" s="146">
        <f t="shared" si="5"/>
        <v>0</v>
      </c>
      <c r="C33" s="146">
        <f t="shared" si="6"/>
        <v>0</v>
      </c>
      <c r="D33" s="146">
        <f t="shared" si="26"/>
        <v>0</v>
      </c>
      <c r="E33" s="146">
        <f t="shared" si="7"/>
        <v>4.7619047619047616E-2</v>
      </c>
      <c r="F33" s="146">
        <f t="shared" si="8"/>
        <v>0.14285714285714285</v>
      </c>
      <c r="G33" s="146">
        <f t="shared" si="9"/>
        <v>0.19047619047619047</v>
      </c>
      <c r="H33" s="146">
        <f t="shared" si="10"/>
        <v>0.19047619047619047</v>
      </c>
      <c r="I33" s="146">
        <f t="shared" si="11"/>
        <v>9.5238095238095233E-2</v>
      </c>
      <c r="J33" s="146">
        <f t="shared" si="12"/>
        <v>0.23809523809523808</v>
      </c>
      <c r="K33" s="146">
        <f t="shared" si="13"/>
        <v>0.14285714285714285</v>
      </c>
      <c r="L33" s="146">
        <f t="shared" si="14"/>
        <v>0.42857142857142855</v>
      </c>
      <c r="M33" s="146">
        <f t="shared" si="15"/>
        <v>0.52380952380952384</v>
      </c>
      <c r="N33" s="146">
        <f t="shared" si="16"/>
        <v>0.7142857142857143</v>
      </c>
      <c r="O33" s="146">
        <f t="shared" si="17"/>
        <v>0.61904761904761907</v>
      </c>
      <c r="P33" s="146">
        <f t="shared" si="18"/>
        <v>0.47619047619047616</v>
      </c>
      <c r="Q33" s="146">
        <f t="shared" si="19"/>
        <v>0.47619047619047616</v>
      </c>
      <c r="R33" s="146">
        <f t="shared" si="20"/>
        <v>0.66666666666666663</v>
      </c>
      <c r="S33" s="146">
        <f t="shared" si="21"/>
        <v>0.7142857142857143</v>
      </c>
      <c r="T33" s="146">
        <f t="shared" si="22"/>
        <v>0.23809523809523808</v>
      </c>
      <c r="U33" s="146">
        <f t="shared" si="23"/>
        <v>4.7619047619047616E-2</v>
      </c>
      <c r="V33" s="146">
        <f t="shared" si="24"/>
        <v>-0.52380952380952384</v>
      </c>
      <c r="W33" s="146">
        <f t="shared" si="25"/>
        <v>-0.52380952380952384</v>
      </c>
      <c r="Y33" s="214" t="s">
        <v>201</v>
      </c>
      <c r="Z33" s="215">
        <v>6.16</v>
      </c>
    </row>
    <row r="34" spans="1:26" x14ac:dyDescent="0.25">
      <c r="A34" s="142" t="s">
        <v>201</v>
      </c>
      <c r="B34" s="146">
        <f t="shared" si="5"/>
        <v>0</v>
      </c>
      <c r="C34" s="146">
        <f t="shared" si="6"/>
        <v>-3.1473533619456365E-3</v>
      </c>
      <c r="D34" s="146">
        <f t="shared" si="26"/>
        <v>-1.6595135908440629E-2</v>
      </c>
      <c r="E34" s="146">
        <f t="shared" si="7"/>
        <v>-1.0586552217453506E-2</v>
      </c>
      <c r="F34" s="146">
        <f t="shared" si="8"/>
        <v>-7.4391988555078687E-3</v>
      </c>
      <c r="G34" s="146">
        <f t="shared" si="9"/>
        <v>8.2975679542203144E-3</v>
      </c>
      <c r="H34" s="146">
        <f t="shared" si="10"/>
        <v>-8.2975679542203144E-3</v>
      </c>
      <c r="I34" s="146">
        <f t="shared" si="11"/>
        <v>-3.9771101573676679E-2</v>
      </c>
      <c r="J34" s="146">
        <f t="shared" si="12"/>
        <v>-7.6680972818311877E-2</v>
      </c>
      <c r="K34" s="146">
        <f t="shared" si="13"/>
        <v>-5.7796852646638051E-2</v>
      </c>
      <c r="L34" s="146">
        <f t="shared" si="14"/>
        <v>-4.3204577968526468E-2</v>
      </c>
      <c r="M34" s="146">
        <f t="shared" si="15"/>
        <v>-7.4678111587982834E-2</v>
      </c>
      <c r="N34" s="146">
        <f t="shared" si="16"/>
        <v>-9.6137339055793997E-2</v>
      </c>
      <c r="O34" s="146">
        <f t="shared" si="17"/>
        <v>-9.2131616595135912E-2</v>
      </c>
      <c r="P34" s="146">
        <f t="shared" si="18"/>
        <v>-8.4978540772532182E-2</v>
      </c>
      <c r="Q34" s="146">
        <f t="shared" si="19"/>
        <v>-6.6094420600858364E-2</v>
      </c>
      <c r="R34" s="146">
        <f t="shared" si="20"/>
        <v>-3.6909871244635191E-2</v>
      </c>
      <c r="S34" s="146">
        <f t="shared" si="21"/>
        <v>-1.2875536480686695E-2</v>
      </c>
      <c r="T34" s="146">
        <f t="shared" si="22"/>
        <v>2.1745350500715306E-2</v>
      </c>
      <c r="U34" s="146">
        <f t="shared" si="23"/>
        <v>-8.6695278969957087E-2</v>
      </c>
      <c r="V34" s="146">
        <f t="shared" si="24"/>
        <v>-0.14449213161659513</v>
      </c>
      <c r="W34" s="146">
        <f t="shared" si="25"/>
        <v>-0.19685264663805435</v>
      </c>
      <c r="Y34" s="214" t="s">
        <v>200</v>
      </c>
      <c r="Z34" s="215">
        <v>9.4300000000000015</v>
      </c>
    </row>
    <row r="35" spans="1:26" x14ac:dyDescent="0.25">
      <c r="A35" s="1"/>
      <c r="B35" s="1"/>
      <c r="C35" s="1"/>
      <c r="D35" s="38"/>
      <c r="E35" s="1"/>
      <c r="F35" s="1"/>
      <c r="G35" s="1"/>
      <c r="H35" s="1"/>
      <c r="I35" s="1"/>
      <c r="J35" s="1"/>
      <c r="K35" s="1"/>
      <c r="L35" s="1"/>
      <c r="M35" s="1"/>
      <c r="N35" s="1"/>
      <c r="O35" s="39"/>
      <c r="P35" s="1"/>
      <c r="Q35" s="1"/>
      <c r="R35" s="1"/>
      <c r="S35" s="1"/>
      <c r="T35" s="1"/>
      <c r="U35" s="1"/>
      <c r="V35" s="1"/>
      <c r="W35" s="1"/>
    </row>
    <row r="36" spans="1:26" ht="15.75" x14ac:dyDescent="0.25">
      <c r="A36" s="315" t="s">
        <v>204</v>
      </c>
      <c r="B36" s="315"/>
      <c r="C36" s="315"/>
      <c r="D36" s="315"/>
      <c r="E36" s="315"/>
      <c r="F36" s="315"/>
      <c r="G36" s="315"/>
      <c r="H36" s="315"/>
      <c r="I36" s="315"/>
      <c r="J36" s="315"/>
      <c r="K36" s="315"/>
      <c r="L36" s="315"/>
      <c r="M36" s="315"/>
      <c r="N36" s="315"/>
      <c r="O36" s="315"/>
      <c r="P36" s="315"/>
      <c r="Q36" s="315"/>
      <c r="R36" s="315"/>
      <c r="S36" s="315"/>
    </row>
    <row r="37" spans="1:26" x14ac:dyDescent="0.25">
      <c r="A37" s="188" t="s">
        <v>188</v>
      </c>
      <c r="B37" s="189">
        <v>2005</v>
      </c>
      <c r="C37" s="189">
        <v>2006</v>
      </c>
      <c r="D37" s="189">
        <v>2007</v>
      </c>
      <c r="E37" s="189">
        <v>2008</v>
      </c>
      <c r="F37" s="189">
        <v>2009</v>
      </c>
      <c r="G37" s="189">
        <v>2010</v>
      </c>
      <c r="H37" s="189">
        <v>2011</v>
      </c>
      <c r="I37" s="189">
        <v>2012</v>
      </c>
      <c r="J37" s="189">
        <v>2013</v>
      </c>
      <c r="K37" s="189">
        <v>2014</v>
      </c>
      <c r="L37" s="189">
        <v>2015</v>
      </c>
      <c r="M37" s="189">
        <v>2016</v>
      </c>
      <c r="N37" s="189">
        <v>2017</v>
      </c>
      <c r="O37" s="189">
        <v>2018</v>
      </c>
      <c r="P37" s="189">
        <v>2019</v>
      </c>
      <c r="Q37" s="189">
        <v>2020</v>
      </c>
      <c r="R37" s="189">
        <v>2021</v>
      </c>
      <c r="S37" s="189">
        <v>2022</v>
      </c>
    </row>
    <row r="38" spans="1:26" ht="15.75" thickBot="1" x14ac:dyDescent="0.3">
      <c r="A38" s="164" t="s">
        <v>196</v>
      </c>
      <c r="B38" s="167">
        <v>9.2100000000000009</v>
      </c>
      <c r="C38" s="167">
        <v>13.06</v>
      </c>
      <c r="D38" s="167">
        <v>12.66</v>
      </c>
      <c r="E38" s="167">
        <v>9.9700000000000006</v>
      </c>
      <c r="F38" s="167">
        <v>12.39</v>
      </c>
      <c r="G38" s="167">
        <v>12.82</v>
      </c>
      <c r="H38" s="167">
        <v>13.59</v>
      </c>
      <c r="I38" s="167">
        <v>14.66</v>
      </c>
      <c r="J38" s="167">
        <v>12</v>
      </c>
      <c r="K38" s="167">
        <v>15.4</v>
      </c>
      <c r="L38" s="167">
        <v>13.71</v>
      </c>
      <c r="M38" s="167">
        <v>14.67</v>
      </c>
      <c r="N38" s="167">
        <v>15.69</v>
      </c>
      <c r="O38" s="167">
        <v>17.53</v>
      </c>
      <c r="P38" s="167">
        <v>16.97</v>
      </c>
      <c r="Q38" s="167">
        <v>16.75</v>
      </c>
      <c r="R38" s="167">
        <v>14.7</v>
      </c>
      <c r="S38" s="168">
        <v>14.6</v>
      </c>
      <c r="T38" s="213">
        <f>S38-(B38*1.4985)</f>
        <v>0.79881499999999939</v>
      </c>
      <c r="U38" s="220">
        <f>T38/B38</f>
        <v>8.6733441910966269E-2</v>
      </c>
    </row>
    <row r="39" spans="1:26" ht="15.75" thickTop="1" x14ac:dyDescent="0.25">
      <c r="A39" s="142" t="s">
        <v>197</v>
      </c>
      <c r="B39" s="149">
        <v>23.35</v>
      </c>
      <c r="C39" s="149">
        <v>22.2</v>
      </c>
      <c r="D39" s="149">
        <v>21.39</v>
      </c>
      <c r="E39" s="149">
        <v>23.45</v>
      </c>
      <c r="F39" s="149">
        <v>19.2</v>
      </c>
      <c r="G39" s="149">
        <v>20.46</v>
      </c>
      <c r="H39" s="149">
        <v>24.26</v>
      </c>
      <c r="I39" s="149">
        <v>23.65</v>
      </c>
      <c r="J39" s="149">
        <v>22.15</v>
      </c>
      <c r="K39" s="149">
        <v>21.79</v>
      </c>
      <c r="L39" s="149">
        <v>21.58</v>
      </c>
      <c r="M39" s="149">
        <v>22.25</v>
      </c>
      <c r="N39" s="149">
        <v>22.23</v>
      </c>
      <c r="O39" s="149">
        <v>24.16</v>
      </c>
      <c r="P39" s="149">
        <v>32.729999999999997</v>
      </c>
      <c r="Q39" s="149">
        <v>29.26</v>
      </c>
      <c r="R39" s="149">
        <v>28.37</v>
      </c>
      <c r="S39" s="150">
        <v>28.64</v>
      </c>
      <c r="T39" s="213">
        <f t="shared" ref="T39:T43" si="27">S39-(B39*1.4985)</f>
        <v>-6.3499750000000006</v>
      </c>
      <c r="U39" s="220">
        <f>T39/B39</f>
        <v>-0.27194753747323341</v>
      </c>
    </row>
    <row r="40" spans="1:26" x14ac:dyDescent="0.25">
      <c r="A40" s="142" t="s">
        <v>198</v>
      </c>
      <c r="B40" s="149">
        <v>15.93</v>
      </c>
      <c r="C40" s="149">
        <v>11.57</v>
      </c>
      <c r="D40" s="149">
        <v>14.79</v>
      </c>
      <c r="E40" s="149">
        <v>14.54</v>
      </c>
      <c r="F40" s="149">
        <v>14.5</v>
      </c>
      <c r="G40" s="149">
        <v>11.72</v>
      </c>
      <c r="H40" s="149">
        <v>12.36</v>
      </c>
      <c r="I40" s="149">
        <v>13.24</v>
      </c>
      <c r="J40" s="149">
        <v>14.49</v>
      </c>
      <c r="K40" s="149">
        <v>18.93</v>
      </c>
      <c r="L40" s="149">
        <v>22.42</v>
      </c>
      <c r="M40" s="149">
        <v>22.87</v>
      </c>
      <c r="N40" s="149">
        <v>18.89</v>
      </c>
      <c r="O40" s="149">
        <v>14.44</v>
      </c>
      <c r="P40" s="149">
        <v>14.23</v>
      </c>
      <c r="Q40" s="149">
        <v>15.04</v>
      </c>
      <c r="R40" s="149">
        <v>17.489999999999998</v>
      </c>
      <c r="S40" s="150">
        <v>20.16</v>
      </c>
      <c r="T40" s="213">
        <f t="shared" si="27"/>
        <v>-3.7111049999999999</v>
      </c>
      <c r="U40" s="220">
        <f>T40/B40</f>
        <v>-0.2329632768361582</v>
      </c>
    </row>
    <row r="41" spans="1:26" x14ac:dyDescent="0.25">
      <c r="A41" s="142" t="s">
        <v>199</v>
      </c>
      <c r="B41" s="149">
        <v>10.29</v>
      </c>
      <c r="C41" s="149">
        <v>10.32</v>
      </c>
      <c r="D41" s="149">
        <v>10.130000000000001</v>
      </c>
      <c r="E41" s="149">
        <v>10.46</v>
      </c>
      <c r="F41" s="149">
        <v>10.74</v>
      </c>
      <c r="G41" s="149">
        <v>11.52</v>
      </c>
      <c r="H41" s="149">
        <v>11.99</v>
      </c>
      <c r="I41" s="149">
        <v>12.04</v>
      </c>
      <c r="J41" s="149">
        <v>11.63</v>
      </c>
      <c r="K41" s="149">
        <v>10.81</v>
      </c>
      <c r="L41" s="149">
        <v>11.24</v>
      </c>
      <c r="M41" s="149">
        <v>12.26</v>
      </c>
      <c r="N41" s="149">
        <v>12.97</v>
      </c>
      <c r="O41" s="149">
        <v>12.71</v>
      </c>
      <c r="P41" s="149">
        <v>13.27</v>
      </c>
      <c r="Q41" s="149">
        <v>14.83</v>
      </c>
      <c r="R41" s="149">
        <v>15.87</v>
      </c>
      <c r="S41" s="150">
        <v>16.510000000000002</v>
      </c>
      <c r="T41" s="213">
        <f t="shared" si="27"/>
        <v>1.0904350000000029</v>
      </c>
      <c r="U41" s="220">
        <f t="shared" ref="U41:U43" si="28">T41/B41</f>
        <v>0.10597035957240068</v>
      </c>
    </row>
    <row r="42" spans="1:26" x14ac:dyDescent="0.25">
      <c r="A42" s="142" t="s">
        <v>200</v>
      </c>
      <c r="B42" s="149">
        <v>12.12</v>
      </c>
      <c r="C42" s="149">
        <v>9.3800000000000008</v>
      </c>
      <c r="D42" s="149">
        <v>16.559999999999999</v>
      </c>
      <c r="E42" s="149">
        <v>16.010000000000002</v>
      </c>
      <c r="F42" s="149">
        <v>16.739999999999998</v>
      </c>
      <c r="G42" s="149">
        <v>16.62</v>
      </c>
      <c r="H42" s="149">
        <v>15.65</v>
      </c>
      <c r="I42" s="149">
        <v>15.04</v>
      </c>
      <c r="J42" s="149">
        <v>15.87</v>
      </c>
      <c r="K42" s="149">
        <v>17.100000000000001</v>
      </c>
      <c r="L42" s="149">
        <v>17.59</v>
      </c>
      <c r="M42" s="149">
        <v>16.28</v>
      </c>
      <c r="N42" s="149">
        <v>14.76</v>
      </c>
      <c r="O42" s="149">
        <v>16.62</v>
      </c>
      <c r="P42" s="149">
        <v>19.95</v>
      </c>
      <c r="Q42" s="149">
        <v>20.11</v>
      </c>
      <c r="R42" s="149">
        <v>20.11</v>
      </c>
      <c r="S42" s="150">
        <v>20.11</v>
      </c>
      <c r="T42" s="213">
        <f t="shared" si="27"/>
        <v>1.9481800000000007</v>
      </c>
      <c r="U42" s="220">
        <f t="shared" si="28"/>
        <v>0.16074092409240931</v>
      </c>
    </row>
    <row r="43" spans="1:26" x14ac:dyDescent="0.25">
      <c r="A43" s="142" t="s">
        <v>201</v>
      </c>
      <c r="B43" s="149">
        <v>11.4</v>
      </c>
      <c r="C43" s="149">
        <v>12.08</v>
      </c>
      <c r="D43" s="149">
        <v>12.77</v>
      </c>
      <c r="E43" s="149">
        <v>13.6</v>
      </c>
      <c r="F43" s="149">
        <v>12.89</v>
      </c>
      <c r="G43" s="149">
        <v>12.43</v>
      </c>
      <c r="H43" s="149">
        <v>12.58</v>
      </c>
      <c r="I43" s="149">
        <v>12.8</v>
      </c>
      <c r="J43" s="149">
        <v>13.17</v>
      </c>
      <c r="K43" s="149">
        <v>13.47</v>
      </c>
      <c r="L43" s="149">
        <v>14.33</v>
      </c>
      <c r="M43" s="149">
        <v>14.28</v>
      </c>
      <c r="N43" s="149">
        <v>14.95</v>
      </c>
      <c r="O43" s="149">
        <v>14.9</v>
      </c>
      <c r="P43" s="149">
        <v>16.61</v>
      </c>
      <c r="Q43" s="149">
        <v>17.12</v>
      </c>
      <c r="R43" s="149">
        <v>17.54</v>
      </c>
      <c r="S43" s="150">
        <v>18.34</v>
      </c>
      <c r="T43" s="213">
        <f t="shared" si="27"/>
        <v>1.2571000000000012</v>
      </c>
      <c r="U43" s="220">
        <f t="shared" si="28"/>
        <v>0.11027192982456151</v>
      </c>
    </row>
    <row r="44" spans="1:26" x14ac:dyDescent="0.25">
      <c r="A44" s="1"/>
      <c r="B44" s="1"/>
      <c r="C44" s="1"/>
      <c r="D44" s="1"/>
      <c r="E44" s="1"/>
      <c r="F44" s="1"/>
      <c r="G44" s="1"/>
      <c r="H44" s="1"/>
      <c r="I44" s="1"/>
      <c r="J44" s="1"/>
      <c r="K44" s="39"/>
      <c r="L44" s="1"/>
      <c r="M44" s="1"/>
      <c r="N44" s="1"/>
      <c r="O44" s="1"/>
      <c r="P44" s="1"/>
      <c r="Q44" s="1"/>
      <c r="R44" s="1"/>
      <c r="S44" s="1"/>
    </row>
    <row r="45" spans="1:26" x14ac:dyDescent="0.25">
      <c r="A45" s="1"/>
      <c r="B45" s="1"/>
      <c r="C45" s="1"/>
      <c r="D45" s="1"/>
      <c r="E45" s="1"/>
      <c r="F45" s="1"/>
      <c r="G45" s="1"/>
      <c r="H45" s="1"/>
      <c r="I45" s="1"/>
      <c r="J45" s="1"/>
      <c r="K45" s="39"/>
      <c r="L45" s="1"/>
      <c r="M45" s="1"/>
      <c r="N45" s="1"/>
      <c r="O45" s="1"/>
      <c r="P45" s="1"/>
      <c r="Q45" s="1"/>
      <c r="R45" s="1"/>
      <c r="S45" s="1"/>
    </row>
    <row r="46" spans="1:26" ht="15.75" x14ac:dyDescent="0.25">
      <c r="A46" s="315" t="s">
        <v>205</v>
      </c>
      <c r="B46" s="315"/>
      <c r="C46" s="315"/>
      <c r="D46" s="315"/>
      <c r="E46" s="315"/>
      <c r="F46" s="315"/>
      <c r="G46" s="315"/>
      <c r="H46" s="315"/>
      <c r="I46" s="315"/>
      <c r="J46" s="315"/>
      <c r="K46" s="315"/>
      <c r="L46" s="315"/>
      <c r="M46" s="315"/>
      <c r="N46" s="315"/>
      <c r="O46" s="315"/>
      <c r="P46" s="315"/>
      <c r="Q46" s="315"/>
      <c r="R46" s="315"/>
      <c r="S46" s="315"/>
    </row>
    <row r="47" spans="1:26" x14ac:dyDescent="0.25">
      <c r="A47" s="188" t="s">
        <v>188</v>
      </c>
      <c r="B47" s="189">
        <v>2005</v>
      </c>
      <c r="C47" s="189">
        <v>2006</v>
      </c>
      <c r="D47" s="189">
        <v>2007</v>
      </c>
      <c r="E47" s="189">
        <v>2008</v>
      </c>
      <c r="F47" s="189">
        <v>2009</v>
      </c>
      <c r="G47" s="189">
        <v>2010</v>
      </c>
      <c r="H47" s="189">
        <v>2011</v>
      </c>
      <c r="I47" s="189">
        <v>2012</v>
      </c>
      <c r="J47" s="189">
        <v>2013</v>
      </c>
      <c r="K47" s="189">
        <v>2014</v>
      </c>
      <c r="L47" s="189">
        <v>2015</v>
      </c>
      <c r="M47" s="189">
        <v>2016</v>
      </c>
      <c r="N47" s="189">
        <v>2017</v>
      </c>
      <c r="O47" s="189">
        <v>2018</v>
      </c>
      <c r="P47" s="189">
        <v>2019</v>
      </c>
      <c r="Q47" s="189">
        <v>2020</v>
      </c>
      <c r="R47" s="189">
        <v>2021</v>
      </c>
      <c r="S47" s="189">
        <v>2022</v>
      </c>
    </row>
    <row r="48" spans="1:26" ht="15.75" thickBot="1" x14ac:dyDescent="0.3">
      <c r="A48" s="164" t="s">
        <v>196</v>
      </c>
      <c r="B48" s="166">
        <f t="shared" ref="B48:B53" si="29">(B38-B38)/B38</f>
        <v>0</v>
      </c>
      <c r="C48" s="166">
        <f t="shared" ref="C48:C53" si="30">(C38-B38)/B38</f>
        <v>0.41802388707926158</v>
      </c>
      <c r="D48" s="166">
        <f t="shared" ref="D48:D53" si="31">(D38-B38)/B38</f>
        <v>0.37459283387622139</v>
      </c>
      <c r="E48" s="166">
        <f t="shared" ref="E48:E53" si="32">(E38-B38)/B38</f>
        <v>8.2519001085776297E-2</v>
      </c>
      <c r="F48" s="166">
        <f t="shared" ref="F48:F53" si="33">(F38-B38)/B38</f>
        <v>0.34527687296416931</v>
      </c>
      <c r="G48" s="166">
        <f t="shared" ref="G48:G53" si="34">(G38-B38)/B38</f>
        <v>0.39196525515743746</v>
      </c>
      <c r="H48" s="166">
        <f t="shared" ref="H48:H53" si="35">(H38-B38)/B38</f>
        <v>0.47557003257328972</v>
      </c>
      <c r="I48" s="166">
        <f t="shared" ref="I48:I53" si="36">(I38-B38)/B38</f>
        <v>0.59174809989142219</v>
      </c>
      <c r="J48" s="166">
        <f t="shared" ref="J48:J53" si="37">(J38-B38)/B38</f>
        <v>0.30293159609120507</v>
      </c>
      <c r="K48" s="166">
        <f t="shared" ref="K48:K53" si="38">(K38-B38)/B38</f>
        <v>0.67209554831704654</v>
      </c>
      <c r="L48" s="166">
        <f t="shared" ref="L48:L53" si="39">(L38-B38)/B38</f>
        <v>0.48859934853420189</v>
      </c>
      <c r="M48" s="166">
        <f t="shared" ref="M48:M53" si="40">(M38-B38)/B38</f>
        <v>0.59283387622149819</v>
      </c>
      <c r="N48" s="166">
        <f t="shared" ref="N48:N53" si="41">(N38-B38)/B38</f>
        <v>0.70358306188925057</v>
      </c>
      <c r="O48" s="166">
        <f t="shared" ref="O48:O53" si="42">(O38-B38)/B38</f>
        <v>0.90336590662323557</v>
      </c>
      <c r="P48" s="166">
        <f t="shared" ref="P48:P53" si="43">(P38-B38)/B38</f>
        <v>0.84256243213897908</v>
      </c>
      <c r="Q48" s="166">
        <f t="shared" ref="Q48:Q53" si="44">(Q38-B38)/B38</f>
        <v>0.81867535287730708</v>
      </c>
      <c r="R48" s="166">
        <f t="shared" ref="R48:R53" si="45">(R38-B38)/B38</f>
        <v>0.5960912052117262</v>
      </c>
      <c r="S48" s="166">
        <f t="shared" ref="S48:S53" si="46">(S38-B38)/B38</f>
        <v>0.58523344191096616</v>
      </c>
    </row>
    <row r="49" spans="1:19" ht="15.75" thickTop="1" x14ac:dyDescent="0.25">
      <c r="A49" s="142" t="s">
        <v>197</v>
      </c>
      <c r="B49" s="146">
        <f t="shared" si="29"/>
        <v>0</v>
      </c>
      <c r="C49" s="146">
        <f t="shared" si="30"/>
        <v>-4.9250535331905869E-2</v>
      </c>
      <c r="D49" s="146">
        <f t="shared" si="31"/>
        <v>-8.3940042826552499E-2</v>
      </c>
      <c r="E49" s="146">
        <f t="shared" si="32"/>
        <v>4.282655246252585E-3</v>
      </c>
      <c r="F49" s="146">
        <f t="shared" si="33"/>
        <v>-0.17773019271948617</v>
      </c>
      <c r="G49" s="146">
        <f t="shared" si="34"/>
        <v>-0.12376873661670237</v>
      </c>
      <c r="H49" s="146">
        <f t="shared" si="35"/>
        <v>3.897216274089936E-2</v>
      </c>
      <c r="I49" s="146">
        <f t="shared" si="36"/>
        <v>1.2847965738757907E-2</v>
      </c>
      <c r="J49" s="146">
        <f t="shared" si="37"/>
        <v>-5.1391862955032237E-2</v>
      </c>
      <c r="K49" s="146">
        <f t="shared" si="38"/>
        <v>-6.6809421841541844E-2</v>
      </c>
      <c r="L49" s="146">
        <f t="shared" si="39"/>
        <v>-7.5802997858672505E-2</v>
      </c>
      <c r="M49" s="146">
        <f t="shared" si="40"/>
        <v>-4.7109207708779501E-2</v>
      </c>
      <c r="N49" s="146">
        <f t="shared" si="41"/>
        <v>-4.7965738758030022E-2</v>
      </c>
      <c r="O49" s="146">
        <f t="shared" si="42"/>
        <v>3.4689507494646624E-2</v>
      </c>
      <c r="P49" s="146">
        <f t="shared" si="43"/>
        <v>0.40171306209850083</v>
      </c>
      <c r="Q49" s="146">
        <f t="shared" si="44"/>
        <v>0.25310492505353316</v>
      </c>
      <c r="R49" s="146">
        <f t="shared" si="45"/>
        <v>0.21498929336188433</v>
      </c>
      <c r="S49" s="146">
        <f t="shared" si="46"/>
        <v>0.22655246252676656</v>
      </c>
    </row>
    <row r="50" spans="1:19" x14ac:dyDescent="0.25">
      <c r="A50" s="142" t="s">
        <v>198</v>
      </c>
      <c r="B50" s="146">
        <f t="shared" si="29"/>
        <v>0</v>
      </c>
      <c r="C50" s="146">
        <f t="shared" si="30"/>
        <v>-0.27369742623979909</v>
      </c>
      <c r="D50" s="146">
        <f t="shared" si="31"/>
        <v>-7.1563088512241094E-2</v>
      </c>
      <c r="E50" s="146">
        <f t="shared" si="32"/>
        <v>-8.7256748273697463E-2</v>
      </c>
      <c r="F50" s="146">
        <f t="shared" si="33"/>
        <v>-8.9767733835530425E-2</v>
      </c>
      <c r="G50" s="146">
        <f t="shared" si="34"/>
        <v>-0.26428123038292523</v>
      </c>
      <c r="H50" s="146">
        <f t="shared" si="35"/>
        <v>-0.22410546139359702</v>
      </c>
      <c r="I50" s="146">
        <f t="shared" si="36"/>
        <v>-0.16886377903327052</v>
      </c>
      <c r="J50" s="146">
        <f t="shared" si="37"/>
        <v>-9.0395480225988672E-2</v>
      </c>
      <c r="K50" s="146">
        <f t="shared" si="38"/>
        <v>0.18832391713747645</v>
      </c>
      <c r="L50" s="146">
        <f t="shared" si="39"/>
        <v>0.40740740740740755</v>
      </c>
      <c r="M50" s="146">
        <f t="shared" si="40"/>
        <v>0.43565599497802898</v>
      </c>
      <c r="N50" s="146">
        <f t="shared" si="41"/>
        <v>0.18581293157564349</v>
      </c>
      <c r="O50" s="146">
        <f t="shared" si="42"/>
        <v>-9.3534212178279993E-2</v>
      </c>
      <c r="P50" s="146">
        <f t="shared" si="43"/>
        <v>-0.10671688637790329</v>
      </c>
      <c r="Q50" s="146">
        <f t="shared" si="44"/>
        <v>-5.5869428750784718E-2</v>
      </c>
      <c r="R50" s="146">
        <f t="shared" si="45"/>
        <v>9.7928436911487685E-2</v>
      </c>
      <c r="S50" s="146">
        <f t="shared" si="46"/>
        <v>0.26553672316384186</v>
      </c>
    </row>
    <row r="51" spans="1:19" x14ac:dyDescent="0.25">
      <c r="A51" s="142" t="s">
        <v>199</v>
      </c>
      <c r="B51" s="146">
        <f t="shared" si="29"/>
        <v>0</v>
      </c>
      <c r="C51" s="146">
        <f t="shared" si="30"/>
        <v>2.9154518950438423E-3</v>
      </c>
      <c r="D51" s="146">
        <f t="shared" si="31"/>
        <v>-1.5549076773566413E-2</v>
      </c>
      <c r="E51" s="146">
        <f t="shared" si="32"/>
        <v>1.6520894071914646E-2</v>
      </c>
      <c r="F51" s="146">
        <f t="shared" si="33"/>
        <v>4.3731778425656086E-2</v>
      </c>
      <c r="G51" s="146">
        <f t="shared" si="34"/>
        <v>0.11953352769679305</v>
      </c>
      <c r="H51" s="146">
        <f t="shared" si="35"/>
        <v>0.16520894071914491</v>
      </c>
      <c r="I51" s="146">
        <f t="shared" si="36"/>
        <v>0.17006802721088438</v>
      </c>
      <c r="J51" s="146">
        <f t="shared" si="37"/>
        <v>0.1302235179786202</v>
      </c>
      <c r="K51" s="146">
        <f t="shared" si="38"/>
        <v>5.0534499514091488E-2</v>
      </c>
      <c r="L51" s="146">
        <f t="shared" si="39"/>
        <v>9.2322643343051611E-2</v>
      </c>
      <c r="M51" s="146">
        <f t="shared" si="40"/>
        <v>0.19144800777453846</v>
      </c>
      <c r="N51" s="146">
        <f t="shared" si="41"/>
        <v>0.26044703595724022</v>
      </c>
      <c r="O51" s="146">
        <f t="shared" si="42"/>
        <v>0.23517978620019456</v>
      </c>
      <c r="P51" s="146">
        <f t="shared" si="43"/>
        <v>0.28960155490767742</v>
      </c>
      <c r="Q51" s="146">
        <f t="shared" si="44"/>
        <v>0.44120505344995153</v>
      </c>
      <c r="R51" s="146">
        <f t="shared" si="45"/>
        <v>0.54227405247813421</v>
      </c>
      <c r="S51" s="146">
        <f t="shared" si="46"/>
        <v>0.6044703595724007</v>
      </c>
    </row>
    <row r="52" spans="1:19" x14ac:dyDescent="0.25">
      <c r="A52" s="142" t="s">
        <v>200</v>
      </c>
      <c r="B52" s="146">
        <f t="shared" si="29"/>
        <v>0</v>
      </c>
      <c r="C52" s="146">
        <f t="shared" si="30"/>
        <v>-0.22607260726072595</v>
      </c>
      <c r="D52" s="146">
        <f t="shared" si="31"/>
        <v>0.36633663366336633</v>
      </c>
      <c r="E52" s="146">
        <f t="shared" si="32"/>
        <v>0.32095709570957115</v>
      </c>
      <c r="F52" s="146">
        <f t="shared" si="33"/>
        <v>0.38118811881188114</v>
      </c>
      <c r="G52" s="146">
        <f t="shared" si="34"/>
        <v>0.37128712871287145</v>
      </c>
      <c r="H52" s="146">
        <f t="shared" si="35"/>
        <v>0.29125412541254136</v>
      </c>
      <c r="I52" s="146">
        <f t="shared" si="36"/>
        <v>0.24092409240924093</v>
      </c>
      <c r="J52" s="146">
        <f t="shared" si="37"/>
        <v>0.3094059405940594</v>
      </c>
      <c r="K52" s="146">
        <f t="shared" si="38"/>
        <v>0.41089108910891109</v>
      </c>
      <c r="L52" s="146">
        <f t="shared" si="39"/>
        <v>0.45132013201320142</v>
      </c>
      <c r="M52" s="146">
        <f t="shared" si="40"/>
        <v>0.34323432343234339</v>
      </c>
      <c r="N52" s="146">
        <f t="shared" si="41"/>
        <v>0.21782178217821788</v>
      </c>
      <c r="O52" s="146">
        <f t="shared" si="42"/>
        <v>0.37128712871287145</v>
      </c>
      <c r="P52" s="146">
        <f t="shared" si="43"/>
        <v>0.64603960396039606</v>
      </c>
      <c r="Q52" s="146">
        <f t="shared" si="44"/>
        <v>0.65924092409240931</v>
      </c>
      <c r="R52" s="146">
        <f t="shared" si="45"/>
        <v>0.65924092409240931</v>
      </c>
      <c r="S52" s="146">
        <f t="shared" si="46"/>
        <v>0.65924092409240931</v>
      </c>
    </row>
    <row r="53" spans="1:19" x14ac:dyDescent="0.25">
      <c r="A53" s="142" t="s">
        <v>201</v>
      </c>
      <c r="B53" s="146">
        <f t="shared" si="29"/>
        <v>0</v>
      </c>
      <c r="C53" s="146">
        <f t="shared" si="30"/>
        <v>5.9649122807017514E-2</v>
      </c>
      <c r="D53" s="146">
        <f t="shared" si="31"/>
        <v>0.12017543859649116</v>
      </c>
      <c r="E53" s="146">
        <f t="shared" si="32"/>
        <v>0.19298245614035081</v>
      </c>
      <c r="F53" s="146">
        <f t="shared" si="33"/>
        <v>0.13070175438596493</v>
      </c>
      <c r="G53" s="146">
        <f t="shared" si="34"/>
        <v>9.0350877192982404E-2</v>
      </c>
      <c r="H53" s="146">
        <f t="shared" si="35"/>
        <v>0.10350877192982454</v>
      </c>
      <c r="I53" s="146">
        <f t="shared" si="36"/>
        <v>0.12280701754385967</v>
      </c>
      <c r="J53" s="146">
        <f t="shared" si="37"/>
        <v>0.1552631578947368</v>
      </c>
      <c r="K53" s="146">
        <f t="shared" si="38"/>
        <v>0.18157894736842106</v>
      </c>
      <c r="L53" s="146">
        <f t="shared" si="39"/>
        <v>0.25701754385964909</v>
      </c>
      <c r="M53" s="146">
        <f t="shared" si="40"/>
        <v>0.25263157894736832</v>
      </c>
      <c r="N53" s="146">
        <f t="shared" si="41"/>
        <v>0.31140350877192974</v>
      </c>
      <c r="O53" s="146">
        <f t="shared" si="42"/>
        <v>0.30701754385964913</v>
      </c>
      <c r="P53" s="146">
        <f t="shared" si="43"/>
        <v>0.45701754385964904</v>
      </c>
      <c r="Q53" s="146">
        <f t="shared" si="44"/>
        <v>0.50175438596491229</v>
      </c>
      <c r="R53" s="146">
        <f t="shared" si="45"/>
        <v>0.53859649122807007</v>
      </c>
      <c r="S53" s="146">
        <f t="shared" si="46"/>
        <v>0.6087719298245613</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T45" sqref="T45"/>
    </sheetView>
  </sheetViews>
  <sheetFormatPr defaultColWidth="9.140625" defaultRowHeight="14.25" x14ac:dyDescent="0.2"/>
  <cols>
    <col min="1" max="1" width="28.28515625" style="1" customWidth="1"/>
    <col min="2" max="3" width="10.140625" style="1" bestFit="1" customWidth="1"/>
    <col min="4" max="4" width="10.140625" style="38" bestFit="1" customWidth="1"/>
    <col min="5" max="5" width="10.7109375" style="1" customWidth="1"/>
    <col min="6" max="14" width="10.140625" style="1" bestFit="1" customWidth="1"/>
    <col min="15" max="15" width="10.140625" style="39"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3" customWidth="1"/>
    <col min="37" max="16384" width="9.140625" style="1"/>
  </cols>
  <sheetData>
    <row r="1" spans="1:28" ht="23.25" x14ac:dyDescent="0.35">
      <c r="A1" s="262" t="s">
        <v>223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224</v>
      </c>
      <c r="B3" s="315"/>
      <c r="C3" s="315"/>
      <c r="D3" s="315"/>
      <c r="E3" s="315"/>
      <c r="F3" s="315"/>
      <c r="G3" s="315"/>
      <c r="H3" s="315"/>
      <c r="I3" s="315"/>
      <c r="J3" s="315"/>
      <c r="K3" s="315"/>
      <c r="L3" s="315"/>
      <c r="M3" s="315"/>
      <c r="N3" s="315"/>
      <c r="O3" s="315"/>
      <c r="P3" s="315"/>
      <c r="Q3" s="315"/>
      <c r="R3" s="315"/>
      <c r="S3" s="315"/>
      <c r="T3" s="315"/>
      <c r="U3" s="315"/>
      <c r="V3" s="315"/>
      <c r="W3" s="315"/>
      <c r="X3" s="141"/>
    </row>
    <row r="4" spans="1:28" x14ac:dyDescent="0.2">
      <c r="A4" s="188" t="s">
        <v>188</v>
      </c>
      <c r="B4" s="189">
        <v>2001</v>
      </c>
      <c r="C4" s="189">
        <v>2002</v>
      </c>
      <c r="D4" s="189">
        <v>2003</v>
      </c>
      <c r="E4" s="189">
        <v>2004</v>
      </c>
      <c r="F4" s="189">
        <v>2005</v>
      </c>
      <c r="G4" s="189">
        <v>2006</v>
      </c>
      <c r="H4" s="189">
        <v>2007</v>
      </c>
      <c r="I4" s="189">
        <v>2008</v>
      </c>
      <c r="J4" s="189">
        <v>2009</v>
      </c>
      <c r="K4" s="189">
        <v>2010</v>
      </c>
      <c r="L4" s="189">
        <v>2011</v>
      </c>
      <c r="M4" s="189">
        <v>2012</v>
      </c>
      <c r="N4" s="189">
        <v>2013</v>
      </c>
      <c r="O4" s="189">
        <v>2014</v>
      </c>
      <c r="P4" s="189">
        <v>2015</v>
      </c>
      <c r="Q4" s="189">
        <v>2016</v>
      </c>
      <c r="R4" s="189">
        <v>2017</v>
      </c>
      <c r="S4" s="189">
        <v>2018</v>
      </c>
      <c r="T4" s="189">
        <v>2019</v>
      </c>
      <c r="U4" s="189">
        <v>2020</v>
      </c>
      <c r="V4" s="189">
        <v>2021</v>
      </c>
      <c r="W4" s="189">
        <v>2022</v>
      </c>
      <c r="X4" s="141"/>
    </row>
    <row r="5" spans="1:28" x14ac:dyDescent="0.2">
      <c r="A5" s="142" t="s">
        <v>225</v>
      </c>
      <c r="B5" s="143">
        <f>'2C'!B19</f>
        <v>201</v>
      </c>
      <c r="C5" s="143">
        <f>'2C'!C19</f>
        <v>206</v>
      </c>
      <c r="D5" s="143">
        <f>'2C'!D19</f>
        <v>208</v>
      </c>
      <c r="E5" s="143">
        <f>'2C'!E19</f>
        <v>203</v>
      </c>
      <c r="F5" s="143">
        <f>'2C'!F19</f>
        <v>201</v>
      </c>
      <c r="G5" s="143">
        <f>'2C'!G19</f>
        <v>230</v>
      </c>
      <c r="H5" s="143">
        <f>'2C'!H19</f>
        <v>233</v>
      </c>
      <c r="I5" s="143">
        <f>'2C'!I19</f>
        <v>252</v>
      </c>
      <c r="J5" s="143">
        <f>'2C'!J19</f>
        <v>275</v>
      </c>
      <c r="K5" s="143">
        <f>'2C'!K19</f>
        <v>293</v>
      </c>
      <c r="L5" s="143">
        <f>'2C'!L19</f>
        <v>280</v>
      </c>
      <c r="M5" s="143">
        <f>'2C'!M19</f>
        <v>269</v>
      </c>
      <c r="N5" s="143">
        <f>'2C'!N19</f>
        <v>280</v>
      </c>
      <c r="O5" s="143">
        <f>'2C'!O19</f>
        <v>291</v>
      </c>
      <c r="P5" s="143">
        <f>'2C'!P19</f>
        <v>307</v>
      </c>
      <c r="Q5" s="143">
        <f>'2C'!Q19</f>
        <v>330</v>
      </c>
      <c r="R5" s="143">
        <f>'2C'!R19</f>
        <v>367</v>
      </c>
      <c r="S5" s="143">
        <f>'2C'!S19</f>
        <v>357</v>
      </c>
      <c r="T5" s="143">
        <f>'2C'!T19</f>
        <v>354</v>
      </c>
      <c r="U5" s="143">
        <f>'2C'!U19</f>
        <v>229</v>
      </c>
      <c r="V5" s="143">
        <f>'2C'!V19</f>
        <v>185</v>
      </c>
      <c r="W5" s="143">
        <f>'2C'!W19</f>
        <v>175</v>
      </c>
      <c r="X5" s="144"/>
    </row>
    <row r="6" spans="1:28" x14ac:dyDescent="0.2">
      <c r="A6" s="142" t="s">
        <v>226</v>
      </c>
      <c r="B6" s="143">
        <v>7752</v>
      </c>
      <c r="C6" s="143">
        <v>7842</v>
      </c>
      <c r="D6" s="143">
        <v>7819</v>
      </c>
      <c r="E6" s="143">
        <v>7747</v>
      </c>
      <c r="F6" s="143">
        <v>7818</v>
      </c>
      <c r="G6" s="143">
        <v>7838</v>
      </c>
      <c r="H6" s="143">
        <v>7879</v>
      </c>
      <c r="I6" s="143">
        <v>7920</v>
      </c>
      <c r="J6" s="143">
        <v>7619</v>
      </c>
      <c r="K6" s="143">
        <v>7512</v>
      </c>
      <c r="L6" s="143">
        <v>7216</v>
      </c>
      <c r="M6" s="143">
        <v>6952</v>
      </c>
      <c r="N6" s="143">
        <v>7122</v>
      </c>
      <c r="O6" s="143">
        <v>7013</v>
      </c>
      <c r="P6" s="143">
        <v>7539</v>
      </c>
      <c r="Q6" s="143">
        <v>8196</v>
      </c>
      <c r="R6" s="143">
        <v>9011</v>
      </c>
      <c r="S6" s="143">
        <v>9232</v>
      </c>
      <c r="T6" s="143">
        <v>9331</v>
      </c>
      <c r="U6" s="143">
        <v>7343</v>
      </c>
      <c r="V6" s="143">
        <v>7928</v>
      </c>
      <c r="W6" s="143">
        <v>8182</v>
      </c>
      <c r="X6" s="144"/>
    </row>
    <row r="7" spans="1:28" x14ac:dyDescent="0.2">
      <c r="A7" s="142" t="s">
        <v>227</v>
      </c>
      <c r="B7" s="143">
        <v>329491</v>
      </c>
      <c r="C7" s="143">
        <v>335427</v>
      </c>
      <c r="D7" s="143">
        <v>336485</v>
      </c>
      <c r="E7" s="143">
        <v>338423</v>
      </c>
      <c r="F7" s="143">
        <v>345741</v>
      </c>
      <c r="G7" s="143">
        <v>358852</v>
      </c>
      <c r="H7" s="143">
        <v>378515</v>
      </c>
      <c r="I7" s="143">
        <v>387995</v>
      </c>
      <c r="J7" s="143">
        <v>379614</v>
      </c>
      <c r="K7" s="143">
        <v>362435</v>
      </c>
      <c r="L7" s="143">
        <v>342254</v>
      </c>
      <c r="M7" s="143">
        <v>333666</v>
      </c>
      <c r="N7" s="143">
        <v>346046</v>
      </c>
      <c r="O7" s="143">
        <v>346705</v>
      </c>
      <c r="P7" s="143">
        <v>364444</v>
      </c>
      <c r="Q7" s="143">
        <v>380182</v>
      </c>
      <c r="R7" s="143">
        <v>404523</v>
      </c>
      <c r="S7" s="143">
        <v>418413</v>
      </c>
      <c r="T7" s="143">
        <v>426652</v>
      </c>
      <c r="U7" s="143">
        <v>359515</v>
      </c>
      <c r="V7" s="143">
        <v>395888</v>
      </c>
      <c r="W7" s="143">
        <v>418306</v>
      </c>
      <c r="X7" s="144"/>
    </row>
    <row r="8" spans="1:28" ht="15.75" x14ac:dyDescent="0.25">
      <c r="A8" s="141"/>
      <c r="B8" s="141"/>
      <c r="C8" s="141"/>
      <c r="D8" s="141"/>
      <c r="E8" s="141"/>
      <c r="F8" s="141"/>
      <c r="G8" s="141"/>
      <c r="H8" s="141"/>
      <c r="I8" s="141"/>
      <c r="J8" s="141"/>
      <c r="K8" s="141"/>
      <c r="L8" s="141"/>
      <c r="M8" s="141"/>
      <c r="N8" s="141"/>
      <c r="O8" s="141"/>
      <c r="P8" s="141"/>
      <c r="Q8" s="141"/>
      <c r="R8" s="141"/>
      <c r="S8" s="141"/>
      <c r="T8" s="141"/>
      <c r="U8" s="141"/>
      <c r="V8" s="141"/>
      <c r="W8" s="141"/>
      <c r="X8" s="144"/>
      <c r="Y8" s="148"/>
      <c r="Z8" s="147"/>
    </row>
    <row r="9" spans="1:28" x14ac:dyDescent="0.2">
      <c r="A9" s="141"/>
      <c r="B9" s="141"/>
      <c r="C9" s="141"/>
      <c r="D9" s="141"/>
      <c r="E9" s="141"/>
      <c r="F9" s="141"/>
      <c r="G9" s="141"/>
      <c r="H9" s="141"/>
      <c r="I9" s="141"/>
      <c r="J9" s="141"/>
      <c r="K9" s="141"/>
      <c r="L9" s="141"/>
      <c r="M9" s="141"/>
      <c r="N9" s="141"/>
      <c r="O9" s="141"/>
      <c r="P9" s="141"/>
      <c r="Q9" s="141"/>
      <c r="R9" s="141"/>
      <c r="S9" s="141"/>
      <c r="T9" s="141"/>
      <c r="U9" s="141"/>
      <c r="V9" s="141"/>
      <c r="W9" s="141"/>
    </row>
    <row r="10" spans="1:28" ht="15.75" x14ac:dyDescent="0.25">
      <c r="A10" s="315" t="s">
        <v>228</v>
      </c>
      <c r="B10" s="315"/>
      <c r="C10" s="315"/>
      <c r="D10" s="315"/>
      <c r="E10" s="315"/>
      <c r="F10" s="315"/>
      <c r="G10" s="315"/>
      <c r="H10" s="315"/>
      <c r="I10" s="315"/>
      <c r="J10" s="315"/>
      <c r="K10" s="315"/>
      <c r="L10" s="315"/>
      <c r="M10" s="315"/>
      <c r="N10" s="315"/>
      <c r="O10" s="315"/>
      <c r="P10" s="315"/>
      <c r="Q10" s="315"/>
      <c r="R10" s="315"/>
      <c r="S10" s="315"/>
      <c r="T10" s="315"/>
      <c r="U10" s="315"/>
      <c r="V10" s="315"/>
      <c r="W10" s="315"/>
    </row>
    <row r="11" spans="1:28" x14ac:dyDescent="0.2">
      <c r="A11" s="188" t="s">
        <v>188</v>
      </c>
      <c r="B11" s="189">
        <v>2001</v>
      </c>
      <c r="C11" s="189">
        <v>2002</v>
      </c>
      <c r="D11" s="189">
        <v>2003</v>
      </c>
      <c r="E11" s="189">
        <v>2004</v>
      </c>
      <c r="F11" s="189">
        <v>2005</v>
      </c>
      <c r="G11" s="189">
        <v>2006</v>
      </c>
      <c r="H11" s="189">
        <v>2007</v>
      </c>
      <c r="I11" s="189">
        <v>2008</v>
      </c>
      <c r="J11" s="189">
        <v>2009</v>
      </c>
      <c r="K11" s="189">
        <v>2010</v>
      </c>
      <c r="L11" s="189">
        <v>2011</v>
      </c>
      <c r="M11" s="189">
        <v>2012</v>
      </c>
      <c r="N11" s="189">
        <v>2013</v>
      </c>
      <c r="O11" s="189">
        <v>2014</v>
      </c>
      <c r="P11" s="189">
        <v>2015</v>
      </c>
      <c r="Q11" s="189">
        <v>2016</v>
      </c>
      <c r="R11" s="189">
        <v>2017</v>
      </c>
      <c r="S11" s="189">
        <v>2018</v>
      </c>
      <c r="T11" s="189">
        <v>2019</v>
      </c>
      <c r="U11" s="189">
        <v>2020</v>
      </c>
      <c r="V11" s="189">
        <v>2021</v>
      </c>
      <c r="W11" s="189">
        <v>2022</v>
      </c>
    </row>
    <row r="12" spans="1:28" x14ac:dyDescent="0.2">
      <c r="A12" s="142" t="s">
        <v>225</v>
      </c>
      <c r="B12" s="169">
        <f>(B5-B5)/B5</f>
        <v>0</v>
      </c>
      <c r="C12" s="169">
        <f>(C5-B5)/B5</f>
        <v>2.4875621890547265E-2</v>
      </c>
      <c r="D12" s="169">
        <f>(D5-B5)/B5</f>
        <v>3.482587064676617E-2</v>
      </c>
      <c r="E12" s="169">
        <f>(E5-B5)/B5</f>
        <v>9.9502487562189053E-3</v>
      </c>
      <c r="F12" s="169">
        <f>(F5-B5)/B5</f>
        <v>0</v>
      </c>
      <c r="G12" s="169">
        <f>(G5-B5)/B5</f>
        <v>0.14427860696517414</v>
      </c>
      <c r="H12" s="169">
        <f>(H5-B5)/B5</f>
        <v>0.15920398009950248</v>
      </c>
      <c r="I12" s="169">
        <f>(I5-B5)/B5</f>
        <v>0.2537313432835821</v>
      </c>
      <c r="J12" s="169">
        <f>(J5-B5)/B5</f>
        <v>0.36815920398009949</v>
      </c>
      <c r="K12" s="169">
        <f>(K5-B5)/B5</f>
        <v>0.45771144278606968</v>
      </c>
      <c r="L12" s="169">
        <f>(L5-B5)/B5</f>
        <v>0.39303482587064675</v>
      </c>
      <c r="M12" s="169">
        <f>(M5-B5)/B5</f>
        <v>0.3383084577114428</v>
      </c>
      <c r="N12" s="169">
        <f>(N5-B5)/B5</f>
        <v>0.39303482587064675</v>
      </c>
      <c r="O12" s="169">
        <f>(O5-B5)/B5</f>
        <v>0.44776119402985076</v>
      </c>
      <c r="P12" s="169">
        <f>(P5-B5)/B5</f>
        <v>0.52736318407960203</v>
      </c>
      <c r="Q12" s="169">
        <f>(Q5-B5)/B5</f>
        <v>0.64179104477611937</v>
      </c>
      <c r="R12" s="169">
        <f>(R5-B5)/B5</f>
        <v>0.82587064676616917</v>
      </c>
      <c r="S12" s="169">
        <f>(S5-B5)/B5</f>
        <v>0.77611940298507465</v>
      </c>
      <c r="T12" s="169">
        <f>(T5-B5)/B5</f>
        <v>0.76119402985074625</v>
      </c>
      <c r="U12" s="169">
        <f>(U5-B5)/B5</f>
        <v>0.13930348258706468</v>
      </c>
      <c r="V12" s="169">
        <f>(V5-B5)/B5</f>
        <v>-7.9601990049751242E-2</v>
      </c>
      <c r="W12" s="169">
        <f>(W5-B5)/B5</f>
        <v>-0.12935323383084577</v>
      </c>
    </row>
    <row r="13" spans="1:28" x14ac:dyDescent="0.2">
      <c r="A13" s="142" t="s">
        <v>226</v>
      </c>
      <c r="B13" s="169">
        <f>(B6-B6)/B6</f>
        <v>0</v>
      </c>
      <c r="C13" s="169">
        <f>(C6-B6)/B6</f>
        <v>1.1609907120743035E-2</v>
      </c>
      <c r="D13" s="169">
        <f>(D6-B6)/B6</f>
        <v>8.6429308565531479E-3</v>
      </c>
      <c r="E13" s="169">
        <f>(E6-B6)/B6</f>
        <v>-6.4499484004127967E-4</v>
      </c>
      <c r="F13" s="169">
        <f>(F6-B6)/B6</f>
        <v>8.5139318885448911E-3</v>
      </c>
      <c r="G13" s="169">
        <f>(G6-B6)/B6</f>
        <v>1.1093911248710011E-2</v>
      </c>
      <c r="H13" s="169">
        <f>(H6-B6)/B6</f>
        <v>1.6382868937048503E-2</v>
      </c>
      <c r="I13" s="169">
        <f>(I6-B6)/B6</f>
        <v>2.1671826625386997E-2</v>
      </c>
      <c r="J13" s="169">
        <f>(J6-B6)/B6</f>
        <v>-1.7156862745098041E-2</v>
      </c>
      <c r="K13" s="169">
        <f>(K6-B6)/B6</f>
        <v>-3.0959752321981424E-2</v>
      </c>
      <c r="L13" s="169">
        <f>(L6-B6)/B6</f>
        <v>-6.9143446852425183E-2</v>
      </c>
      <c r="M13" s="169">
        <f>(M6-B6)/B6</f>
        <v>-0.10319917440660474</v>
      </c>
      <c r="N13" s="169">
        <f>(N6-B6)/B6</f>
        <v>-8.1269349845201233E-2</v>
      </c>
      <c r="O13" s="169">
        <f>(O6-B6)/B6</f>
        <v>-9.533023735810113E-2</v>
      </c>
      <c r="P13" s="169">
        <f>(P6-B6)/B6</f>
        <v>-2.7476780185758515E-2</v>
      </c>
      <c r="Q13" s="169">
        <f>(Q6-B6)/B6</f>
        <v>5.7275541795665637E-2</v>
      </c>
      <c r="R13" s="169">
        <f>(R6-B6)/B6</f>
        <v>0.16240970072239422</v>
      </c>
      <c r="S13" s="169">
        <f>(S6-B6)/B6</f>
        <v>0.19091847265221878</v>
      </c>
      <c r="T13" s="169">
        <f>(T6-B6)/B6</f>
        <v>0.20368937048503613</v>
      </c>
      <c r="U13" s="169">
        <f>(U6-B6)/B6</f>
        <v>-5.276057791537668E-2</v>
      </c>
      <c r="V13" s="169">
        <f>(V6-B6)/B6</f>
        <v>2.2703818369453045E-2</v>
      </c>
      <c r="W13" s="169">
        <f>(W6-B6)/B6</f>
        <v>5.5469556243550051E-2</v>
      </c>
    </row>
    <row r="14" spans="1:28" x14ac:dyDescent="0.2">
      <c r="A14" s="142" t="s">
        <v>227</v>
      </c>
      <c r="B14" s="169">
        <f>(B7-B7)/B7</f>
        <v>0</v>
      </c>
      <c r="C14" s="169">
        <f>(C7-B7)/B7</f>
        <v>1.8015666588768738E-2</v>
      </c>
      <c r="D14" s="169">
        <f>(D7-B7)/B7</f>
        <v>2.1226679939664511E-2</v>
      </c>
      <c r="E14" s="169">
        <f>(E7-B7)/B7</f>
        <v>2.7108479442534091E-2</v>
      </c>
      <c r="F14" s="169">
        <f>(F7-B7)/B7</f>
        <v>4.9318494283607142E-2</v>
      </c>
      <c r="G14" s="169">
        <f>(G7-B7)/B7</f>
        <v>8.911017296375319E-2</v>
      </c>
      <c r="H14" s="169">
        <f>(H7-B7)/B7</f>
        <v>0.14878706853904963</v>
      </c>
      <c r="I14" s="169">
        <f>(I7-B7)/B7</f>
        <v>0.17755871935804013</v>
      </c>
      <c r="J14" s="169">
        <f>(J7-B7)/B7</f>
        <v>0.15212251624475326</v>
      </c>
      <c r="K14" s="169">
        <f>(K7-B7)/B7</f>
        <v>9.99845215802556E-2</v>
      </c>
      <c r="L14" s="169">
        <f>(L7-B7)/B7</f>
        <v>3.8735504156410951E-2</v>
      </c>
      <c r="M14" s="169">
        <f>(M7-B7)/B7</f>
        <v>1.2671059300557527E-2</v>
      </c>
      <c r="N14" s="169">
        <f>(N7-B7)/B7</f>
        <v>5.0244164484007148E-2</v>
      </c>
      <c r="O14" s="169">
        <f>(O7-B7)/B7</f>
        <v>5.2244219113723893E-2</v>
      </c>
      <c r="P14" s="169">
        <f>(P7-B7)/B7</f>
        <v>0.10608180496584126</v>
      </c>
      <c r="Q14" s="169">
        <f>(Q7-B7)/B7</f>
        <v>0.15384638730648181</v>
      </c>
      <c r="R14" s="169">
        <f>(R7-B7)/B7</f>
        <v>0.22772093926692991</v>
      </c>
      <c r="S14" s="169">
        <f>(S7-B7)/B7</f>
        <v>0.26987687068842547</v>
      </c>
      <c r="T14" s="169">
        <f>(T7-B7)/B7</f>
        <v>0.29488210603628018</v>
      </c>
      <c r="U14" s="169">
        <f>(U7-B7)/B7</f>
        <v>9.1122367530524356E-2</v>
      </c>
      <c r="V14" s="169">
        <f>(V7-B7)/B7</f>
        <v>0.20151385015068696</v>
      </c>
      <c r="W14" s="169">
        <f>(W7-B7)/B7</f>
        <v>0.26955212737221956</v>
      </c>
    </row>
    <row r="16" spans="1:28" ht="15.75" x14ac:dyDescent="0.25">
      <c r="A16" s="315" t="s">
        <v>229</v>
      </c>
      <c r="B16" s="315"/>
      <c r="C16" s="315"/>
      <c r="D16" s="315"/>
      <c r="E16" s="315"/>
      <c r="F16" s="315"/>
      <c r="G16" s="315"/>
      <c r="H16" s="315"/>
      <c r="I16" s="315"/>
      <c r="J16" s="315"/>
      <c r="K16" s="315"/>
      <c r="L16" s="315"/>
      <c r="M16" s="315"/>
      <c r="N16" s="315"/>
      <c r="O16" s="315"/>
      <c r="P16" s="315"/>
      <c r="Q16" s="315"/>
      <c r="R16" s="315"/>
      <c r="S16" s="315"/>
      <c r="T16"/>
      <c r="U16"/>
      <c r="V16"/>
      <c r="W16"/>
    </row>
    <row r="17" spans="1:23" ht="15" x14ac:dyDescent="0.25">
      <c r="A17" s="188" t="s">
        <v>188</v>
      </c>
      <c r="B17" s="189">
        <v>2005</v>
      </c>
      <c r="C17" s="189">
        <v>2006</v>
      </c>
      <c r="D17" s="189">
        <v>2007</v>
      </c>
      <c r="E17" s="189">
        <v>2008</v>
      </c>
      <c r="F17" s="189">
        <v>2009</v>
      </c>
      <c r="G17" s="189">
        <v>2010</v>
      </c>
      <c r="H17" s="189">
        <v>2011</v>
      </c>
      <c r="I17" s="189">
        <v>2012</v>
      </c>
      <c r="J17" s="189">
        <v>2013</v>
      </c>
      <c r="K17" s="189">
        <v>2014</v>
      </c>
      <c r="L17" s="189">
        <v>2015</v>
      </c>
      <c r="M17" s="189">
        <v>2016</v>
      </c>
      <c r="N17" s="189">
        <v>2017</v>
      </c>
      <c r="O17" s="189">
        <v>2018</v>
      </c>
      <c r="P17" s="189">
        <v>2019</v>
      </c>
      <c r="Q17" s="189">
        <v>2020</v>
      </c>
      <c r="R17" s="189">
        <v>2021</v>
      </c>
      <c r="S17" s="189">
        <v>2022</v>
      </c>
      <c r="T17"/>
      <c r="U17"/>
      <c r="V17"/>
      <c r="W17"/>
    </row>
    <row r="18" spans="1:23" ht="15" x14ac:dyDescent="0.25">
      <c r="A18" s="142" t="s">
        <v>225</v>
      </c>
      <c r="B18" s="149">
        <f>'2C'!B38</f>
        <v>9.2100000000000009</v>
      </c>
      <c r="C18" s="149">
        <f>'2C'!C38</f>
        <v>13.06</v>
      </c>
      <c r="D18" s="149">
        <f>'2C'!D38</f>
        <v>12.66</v>
      </c>
      <c r="E18" s="149">
        <f>'2C'!E38</f>
        <v>9.9700000000000006</v>
      </c>
      <c r="F18" s="149">
        <f>'2C'!F38</f>
        <v>12.39</v>
      </c>
      <c r="G18" s="149">
        <f>'2C'!G38</f>
        <v>12.82</v>
      </c>
      <c r="H18" s="149">
        <f>'2C'!H38</f>
        <v>13.59</v>
      </c>
      <c r="I18" s="149">
        <f>'2C'!I38</f>
        <v>14.66</v>
      </c>
      <c r="J18" s="149">
        <f>'2C'!J38</f>
        <v>12</v>
      </c>
      <c r="K18" s="149">
        <f>'2C'!K38</f>
        <v>15.4</v>
      </c>
      <c r="L18" s="149">
        <f>'2C'!L38</f>
        <v>13.71</v>
      </c>
      <c r="M18" s="149">
        <f>'2C'!M38</f>
        <v>14.67</v>
      </c>
      <c r="N18" s="149">
        <f>'2C'!N38</f>
        <v>15.69</v>
      </c>
      <c r="O18" s="149">
        <f>'2C'!O38</f>
        <v>17.53</v>
      </c>
      <c r="P18" s="149">
        <f>'2C'!P38</f>
        <v>16.97</v>
      </c>
      <c r="Q18" s="149">
        <f>'2C'!Q38</f>
        <v>16.75</v>
      </c>
      <c r="R18" s="149">
        <f>'2C'!R38</f>
        <v>14.7</v>
      </c>
      <c r="S18" s="149">
        <f>'2C'!S38</f>
        <v>14.6</v>
      </c>
      <c r="T18"/>
      <c r="U18"/>
      <c r="V18"/>
      <c r="W18"/>
    </row>
    <row r="19" spans="1:23" ht="15" x14ac:dyDescent="0.25">
      <c r="A19" s="142" t="s">
        <v>226</v>
      </c>
      <c r="B19" s="149">
        <v>12.09</v>
      </c>
      <c r="C19" s="149">
        <v>12.89</v>
      </c>
      <c r="D19" s="149">
        <v>13.66</v>
      </c>
      <c r="E19" s="149">
        <v>13.59</v>
      </c>
      <c r="F19" s="149">
        <v>13.75</v>
      </c>
      <c r="G19" s="149">
        <v>13.43</v>
      </c>
      <c r="H19" s="149">
        <v>14.98</v>
      </c>
      <c r="I19" s="149">
        <v>14.43</v>
      </c>
      <c r="J19" s="149">
        <v>13.82</v>
      </c>
      <c r="K19" s="149">
        <v>13.23</v>
      </c>
      <c r="L19" s="149">
        <v>13.34</v>
      </c>
      <c r="M19" s="149">
        <v>13.31</v>
      </c>
      <c r="N19" s="149">
        <v>13.94</v>
      </c>
      <c r="O19" s="149">
        <v>15.09</v>
      </c>
      <c r="P19" s="149">
        <v>14.89</v>
      </c>
      <c r="Q19" s="149">
        <v>14.63</v>
      </c>
      <c r="R19" s="149">
        <v>14.37</v>
      </c>
      <c r="S19" s="150">
        <v>16.14</v>
      </c>
      <c r="T19"/>
      <c r="U19"/>
      <c r="V19"/>
      <c r="W19"/>
    </row>
    <row r="20" spans="1:23" ht="15" x14ac:dyDescent="0.25">
      <c r="A20" s="142" t="s">
        <v>227</v>
      </c>
      <c r="B20" s="149">
        <v>10.57</v>
      </c>
      <c r="C20" s="149">
        <v>10.91</v>
      </c>
      <c r="D20" s="149">
        <v>11.12</v>
      </c>
      <c r="E20" s="149">
        <v>11.48</v>
      </c>
      <c r="F20" s="149">
        <v>11.8</v>
      </c>
      <c r="G20" s="149">
        <v>12.35</v>
      </c>
      <c r="H20" s="149">
        <v>12.8</v>
      </c>
      <c r="I20" s="149">
        <v>13.04</v>
      </c>
      <c r="J20" s="149">
        <v>13.26</v>
      </c>
      <c r="K20" s="149">
        <v>13.52</v>
      </c>
      <c r="L20" s="149">
        <v>13.74</v>
      </c>
      <c r="M20" s="149">
        <v>13.84</v>
      </c>
      <c r="N20" s="149">
        <v>13.94</v>
      </c>
      <c r="O20" s="149">
        <v>14.32</v>
      </c>
      <c r="P20" s="149">
        <v>14.67</v>
      </c>
      <c r="Q20" s="149">
        <v>15.35</v>
      </c>
      <c r="R20" s="149">
        <v>14.52</v>
      </c>
      <c r="S20" s="150">
        <v>16.989999999999998</v>
      </c>
      <c r="T20"/>
      <c r="U20"/>
      <c r="V20"/>
      <c r="W20"/>
    </row>
    <row r="21" spans="1:23" ht="15" x14ac:dyDescent="0.25">
      <c r="B21" s="45"/>
      <c r="C21" s="45"/>
      <c r="D21" s="45"/>
      <c r="E21" s="45"/>
      <c r="F21" s="45"/>
      <c r="G21" s="45"/>
      <c r="H21" s="45"/>
      <c r="I21" s="45"/>
      <c r="J21" s="45"/>
      <c r="K21" s="45"/>
      <c r="L21" s="45"/>
      <c r="M21" s="45"/>
      <c r="N21" s="45"/>
      <c r="O21" s="45"/>
      <c r="P21" s="45"/>
      <c r="Q21" s="45"/>
      <c r="R21" s="45"/>
      <c r="S21" s="45"/>
      <c r="T21"/>
      <c r="U21"/>
      <c r="V21"/>
      <c r="W21"/>
    </row>
    <row r="22" spans="1:23" ht="15" x14ac:dyDescent="0.25">
      <c r="D22" s="1"/>
      <c r="K22" s="39"/>
      <c r="O22" s="1"/>
      <c r="T22"/>
      <c r="U22"/>
      <c r="V22"/>
      <c r="W22"/>
    </row>
    <row r="23" spans="1:23" ht="15.75" x14ac:dyDescent="0.25">
      <c r="A23" s="315" t="s">
        <v>230</v>
      </c>
      <c r="B23" s="315"/>
      <c r="C23" s="315"/>
      <c r="D23" s="315"/>
      <c r="E23" s="315"/>
      <c r="F23" s="315"/>
      <c r="G23" s="315"/>
      <c r="H23" s="315"/>
      <c r="I23" s="315"/>
      <c r="J23" s="315"/>
      <c r="K23" s="315"/>
      <c r="L23" s="315"/>
      <c r="M23" s="315"/>
      <c r="N23" s="315"/>
      <c r="O23" s="315"/>
      <c r="P23" s="315"/>
      <c r="Q23" s="315"/>
      <c r="R23" s="315"/>
      <c r="S23" s="315"/>
      <c r="T23"/>
      <c r="U23"/>
      <c r="V23"/>
      <c r="W23"/>
    </row>
    <row r="24" spans="1:23" ht="15" x14ac:dyDescent="0.25">
      <c r="A24" s="188" t="s">
        <v>188</v>
      </c>
      <c r="B24" s="189">
        <v>2005</v>
      </c>
      <c r="C24" s="189">
        <v>2006</v>
      </c>
      <c r="D24" s="189">
        <v>2007</v>
      </c>
      <c r="E24" s="189">
        <v>2008</v>
      </c>
      <c r="F24" s="189">
        <v>2009</v>
      </c>
      <c r="G24" s="189">
        <v>2010</v>
      </c>
      <c r="H24" s="189">
        <v>2011</v>
      </c>
      <c r="I24" s="189">
        <v>2012</v>
      </c>
      <c r="J24" s="189">
        <v>2013</v>
      </c>
      <c r="K24" s="189">
        <v>2014</v>
      </c>
      <c r="L24" s="189">
        <v>2015</v>
      </c>
      <c r="M24" s="189">
        <v>2016</v>
      </c>
      <c r="N24" s="189">
        <v>2017</v>
      </c>
      <c r="O24" s="189">
        <v>2018</v>
      </c>
      <c r="P24" s="189">
        <v>2019</v>
      </c>
      <c r="Q24" s="189">
        <v>2020</v>
      </c>
      <c r="R24" s="189">
        <v>2021</v>
      </c>
      <c r="S24" s="189">
        <v>2022</v>
      </c>
      <c r="T24"/>
      <c r="U24"/>
      <c r="V24"/>
      <c r="W24"/>
    </row>
    <row r="25" spans="1:23" ht="15" x14ac:dyDescent="0.25">
      <c r="A25" s="142" t="s">
        <v>231</v>
      </c>
      <c r="B25" s="169">
        <f>(B18-B18)/B18</f>
        <v>0</v>
      </c>
      <c r="C25" s="169">
        <f>(C18-B18)/B18</f>
        <v>0.41802388707926158</v>
      </c>
      <c r="D25" s="169">
        <f>(D18-B18)/B18</f>
        <v>0.37459283387622139</v>
      </c>
      <c r="E25" s="169">
        <f>(E18-B18)/B18</f>
        <v>8.2519001085776297E-2</v>
      </c>
      <c r="F25" s="169">
        <f>(F18-B18)/B18</f>
        <v>0.34527687296416931</v>
      </c>
      <c r="G25" s="169">
        <f>(G18-B18)/B18</f>
        <v>0.39196525515743746</v>
      </c>
      <c r="H25" s="169">
        <f>(H18-B18)/B18</f>
        <v>0.47557003257328972</v>
      </c>
      <c r="I25" s="169">
        <f>(I18-B18)/B18</f>
        <v>0.59174809989142219</v>
      </c>
      <c r="J25" s="169">
        <f>(J18-B18)/B18</f>
        <v>0.30293159609120507</v>
      </c>
      <c r="K25" s="169">
        <f>(K18-B18)/B18</f>
        <v>0.67209554831704654</v>
      </c>
      <c r="L25" s="169">
        <f>(L18-B18)/B18</f>
        <v>0.48859934853420189</v>
      </c>
      <c r="M25" s="169">
        <f>(M18-B18)/B18</f>
        <v>0.59283387622149819</v>
      </c>
      <c r="N25" s="169">
        <f>(N18-B18)/B18</f>
        <v>0.70358306188925057</v>
      </c>
      <c r="O25" s="169">
        <f>(O18-B18)/B18</f>
        <v>0.90336590662323557</v>
      </c>
      <c r="P25" s="169">
        <f>(P18-B18)/B18</f>
        <v>0.84256243213897908</v>
      </c>
      <c r="Q25" s="169">
        <f>(Q18-B18)/B18</f>
        <v>0.81867535287730708</v>
      </c>
      <c r="R25" s="169">
        <f>(R18-B18)/B18</f>
        <v>0.5960912052117262</v>
      </c>
      <c r="S25" s="169">
        <f>(S18-B18)/B18</f>
        <v>0.58523344191096616</v>
      </c>
      <c r="T25"/>
      <c r="U25"/>
      <c r="V25"/>
      <c r="W25"/>
    </row>
    <row r="26" spans="1:23" ht="15" x14ac:dyDescent="0.25">
      <c r="A26" s="142" t="s">
        <v>226</v>
      </c>
      <c r="B26" s="169">
        <f>(B19-B19)/B19</f>
        <v>0</v>
      </c>
      <c r="C26" s="169">
        <f>(C19-B19)/B19</f>
        <v>6.6170388751033968E-2</v>
      </c>
      <c r="D26" s="169">
        <f>(D19-B19)/B19</f>
        <v>0.12985938792390408</v>
      </c>
      <c r="E26" s="169">
        <f>(E19-B19)/B19</f>
        <v>0.12406947890818859</v>
      </c>
      <c r="F26" s="169">
        <f>(F19-B19)/B19</f>
        <v>0.13730355665839539</v>
      </c>
      <c r="G26" s="169">
        <f>(G19-B19)/B19</f>
        <v>0.11083540115798179</v>
      </c>
      <c r="H26" s="169">
        <f>(H19-B19)/B19</f>
        <v>0.23904052936311007</v>
      </c>
      <c r="I26" s="169">
        <f>(I19-B19)/B19</f>
        <v>0.19354838709677419</v>
      </c>
      <c r="J26" s="169">
        <f>(J19-B19)/B19</f>
        <v>0.14309346567411088</v>
      </c>
      <c r="K26" s="169">
        <f>(K19-B19)/B19</f>
        <v>9.4292803970223368E-2</v>
      </c>
      <c r="L26" s="169">
        <f>(L19-B19)/B19</f>
        <v>0.10339123242349049</v>
      </c>
      <c r="M26" s="169">
        <f>(M19-B19)/B19</f>
        <v>0.10090984284532677</v>
      </c>
      <c r="N26" s="169">
        <f>(N19-B19)/B19</f>
        <v>0.1530190239867659</v>
      </c>
      <c r="O26" s="169">
        <f>(O19-B19)/B19</f>
        <v>0.24813895781637718</v>
      </c>
      <c r="P26" s="169">
        <f>(P19-B19)/B19</f>
        <v>0.23159636062861874</v>
      </c>
      <c r="Q26" s="169">
        <f>(Q19-B19)/B19</f>
        <v>0.21009098428453274</v>
      </c>
      <c r="R26" s="169">
        <f>(R19-B19)/B19</f>
        <v>0.1885856079404466</v>
      </c>
      <c r="S26" s="169">
        <f>(S19-B19)/B19</f>
        <v>0.33498759305210923</v>
      </c>
      <c r="T26"/>
      <c r="U26"/>
      <c r="V26"/>
      <c r="W26"/>
    </row>
    <row r="27" spans="1:23" ht="15" x14ac:dyDescent="0.25">
      <c r="A27" s="142" t="s">
        <v>227</v>
      </c>
      <c r="B27" s="169">
        <f>(B20-B20)/B20</f>
        <v>0</v>
      </c>
      <c r="C27" s="169">
        <f>(C20-B20)/B20</f>
        <v>3.2166508987701029E-2</v>
      </c>
      <c r="D27" s="169">
        <f>(D20-B20)/B20</f>
        <v>5.2034058656575108E-2</v>
      </c>
      <c r="E27" s="169">
        <f>(E20-B20)/B20</f>
        <v>8.6092715231788089E-2</v>
      </c>
      <c r="F27" s="169">
        <f>(F20-B20)/B20</f>
        <v>0.11636707663197733</v>
      </c>
      <c r="G27" s="169">
        <f>(G20-B20)/B20</f>
        <v>0.16840113528855244</v>
      </c>
      <c r="H27" s="169">
        <f>(H20-B20)/B20</f>
        <v>0.21097445600756862</v>
      </c>
      <c r="I27" s="169">
        <f>(I20-B20)/B20</f>
        <v>0.23368022705771038</v>
      </c>
      <c r="J27" s="169">
        <f>(J20-B20)/B20</f>
        <v>0.25449385052034051</v>
      </c>
      <c r="K27" s="169">
        <f>(K20-B20)/B20</f>
        <v>0.27909176915799427</v>
      </c>
      <c r="L27" s="169">
        <f>(L20-B20)/B20</f>
        <v>0.29990539262062438</v>
      </c>
      <c r="M27" s="169">
        <f>(M20-B20)/B20</f>
        <v>0.30936613055818352</v>
      </c>
      <c r="N27" s="169">
        <f>(N20-B20)/B20</f>
        <v>0.3188268684957426</v>
      </c>
      <c r="O27" s="169">
        <f>(O20-B20)/B20</f>
        <v>0.35477767265846732</v>
      </c>
      <c r="P27" s="169">
        <f>(P20-B20)/B20</f>
        <v>0.38789025543992428</v>
      </c>
      <c r="Q27" s="169">
        <f>(Q20-B20)/B20</f>
        <v>0.45222327341532631</v>
      </c>
      <c r="R27" s="169">
        <f>(R20-B20)/B20</f>
        <v>0.37369914853358555</v>
      </c>
      <c r="S27" s="169">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C21" sqref="C21"/>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8"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206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207</v>
      </c>
      <c r="B4" s="320"/>
      <c r="C4" s="320"/>
      <c r="D4" s="320"/>
    </row>
    <row r="5" spans="1:27" ht="15" x14ac:dyDescent="0.25">
      <c r="A5" s="321" t="s">
        <v>208</v>
      </c>
      <c r="B5" s="322"/>
      <c r="C5" s="321" t="s">
        <v>209</v>
      </c>
      <c r="D5" s="321"/>
    </row>
    <row r="6" spans="1:27" x14ac:dyDescent="0.2">
      <c r="A6" s="153" t="s">
        <v>210</v>
      </c>
      <c r="B6" s="154" t="s">
        <v>194</v>
      </c>
      <c r="C6" s="153" t="s">
        <v>210</v>
      </c>
      <c r="D6" s="155" t="s">
        <v>194</v>
      </c>
    </row>
    <row r="7" spans="1:27" x14ac:dyDescent="0.2">
      <c r="A7" s="1" t="s">
        <v>211</v>
      </c>
      <c r="B7" s="156">
        <v>0.20699999999999999</v>
      </c>
      <c r="C7" s="1" t="s">
        <v>211</v>
      </c>
      <c r="D7" s="157">
        <v>0.1502</v>
      </c>
    </row>
    <row r="8" spans="1:27" x14ac:dyDescent="0.2">
      <c r="A8" s="1" t="s">
        <v>212</v>
      </c>
      <c r="B8" s="156">
        <v>0.13200000000000001</v>
      </c>
      <c r="C8" s="1" t="s">
        <v>212</v>
      </c>
      <c r="D8" s="157">
        <v>0.14130000000000001</v>
      </c>
    </row>
    <row r="9" spans="1:27" x14ac:dyDescent="0.2">
      <c r="A9" s="1" t="s">
        <v>213</v>
      </c>
      <c r="B9" s="156">
        <v>8.3000000000000004E-2</v>
      </c>
      <c r="C9" s="1" t="s">
        <v>214</v>
      </c>
      <c r="D9" s="157">
        <v>0.1195</v>
      </c>
    </row>
    <row r="10" spans="1:27" x14ac:dyDescent="0.2">
      <c r="A10" s="1" t="s">
        <v>214</v>
      </c>
      <c r="B10" s="156">
        <v>7.8E-2</v>
      </c>
      <c r="C10" s="1" t="s">
        <v>215</v>
      </c>
      <c r="D10" s="157">
        <v>0.1011</v>
      </c>
    </row>
    <row r="11" spans="1:27" x14ac:dyDescent="0.2">
      <c r="A11" s="1" t="s">
        <v>216</v>
      </c>
      <c r="B11" s="156">
        <v>6.7900000000000002E-2</v>
      </c>
      <c r="C11" s="1" t="s">
        <v>217</v>
      </c>
      <c r="D11" s="157">
        <v>9.7339999999999996E-2</v>
      </c>
    </row>
    <row r="12" spans="1:27" x14ac:dyDescent="0.2">
      <c r="A12" s="1" t="s">
        <v>217</v>
      </c>
      <c r="B12" s="156">
        <v>6.6900000000000001E-2</v>
      </c>
      <c r="C12" s="1" t="s">
        <v>213</v>
      </c>
      <c r="D12" s="157">
        <v>9.1399999999999995E-2</v>
      </c>
    </row>
    <row r="13" spans="1:27" x14ac:dyDescent="0.2">
      <c r="A13" s="1" t="s">
        <v>218</v>
      </c>
      <c r="B13" s="156">
        <v>6.6570000000000004E-2</v>
      </c>
      <c r="C13" s="1" t="s">
        <v>219</v>
      </c>
      <c r="D13" s="157">
        <v>8.9139999999999997E-2</v>
      </c>
    </row>
    <row r="14" spans="1:27" x14ac:dyDescent="0.2">
      <c r="A14" s="1" t="s">
        <v>215</v>
      </c>
      <c r="B14" s="156">
        <v>6.6299999999999998E-2</v>
      </c>
      <c r="C14" s="1" t="s">
        <v>220</v>
      </c>
      <c r="D14" s="157">
        <v>7.17E-2</v>
      </c>
    </row>
    <row r="15" spans="1:27" x14ac:dyDescent="0.2">
      <c r="A15" s="1" t="s">
        <v>221</v>
      </c>
      <c r="B15" s="156">
        <v>6.5600000000000006E-2</v>
      </c>
      <c r="C15" s="1" t="s">
        <v>216</v>
      </c>
      <c r="D15" s="157">
        <v>6.9199999999999998E-2</v>
      </c>
    </row>
    <row r="16" spans="1:27" x14ac:dyDescent="0.2">
      <c r="A16" s="1" t="s">
        <v>219</v>
      </c>
      <c r="B16" s="156">
        <v>6.0229999999999999E-2</v>
      </c>
      <c r="C16" s="1" t="s">
        <v>222</v>
      </c>
      <c r="D16" s="157">
        <v>6.8699999999999997E-2</v>
      </c>
    </row>
    <row r="18" spans="2:2" x14ac:dyDescent="0.2">
      <c r="B18" s="158"/>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P8" sqref="P8"/>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8"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39"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3" customWidth="1"/>
    <col min="36" max="16384" width="9.140625" style="1"/>
  </cols>
  <sheetData>
    <row r="1" spans="1:27" ht="23.25" x14ac:dyDescent="0.35">
      <c r="A1" s="262" t="s">
        <v>232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2" t="s">
        <v>233</v>
      </c>
      <c r="B3" s="192"/>
      <c r="C3" s="192"/>
      <c r="D3" s="192"/>
      <c r="F3" s="320" t="s">
        <v>234</v>
      </c>
      <c r="G3" s="320"/>
      <c r="H3" s="320"/>
    </row>
    <row r="4" spans="1:27" ht="28.5" x14ac:dyDescent="0.2">
      <c r="A4" s="190" t="s">
        <v>235</v>
      </c>
      <c r="B4" s="190" t="s">
        <v>236</v>
      </c>
      <c r="C4" s="191" t="s">
        <v>237</v>
      </c>
      <c r="D4" s="1"/>
      <c r="F4" s="190" t="s">
        <v>238</v>
      </c>
      <c r="G4" s="191" t="s">
        <v>239</v>
      </c>
      <c r="H4" s="36" t="s">
        <v>240</v>
      </c>
      <c r="O4" s="1"/>
    </row>
    <row r="5" spans="1:27" ht="15" x14ac:dyDescent="0.25">
      <c r="A5" s="159">
        <v>43313</v>
      </c>
      <c r="B5">
        <v>5</v>
      </c>
      <c r="C5" s="217" t="s">
        <v>241</v>
      </c>
      <c r="D5" s="1"/>
      <c r="F5" s="1" t="s">
        <v>343</v>
      </c>
      <c r="G5" s="158">
        <v>66</v>
      </c>
      <c r="H5" s="202" t="s">
        <v>276</v>
      </c>
      <c r="O5" s="1"/>
    </row>
    <row r="6" spans="1:27" ht="15" x14ac:dyDescent="0.25">
      <c r="A6" s="159">
        <v>43344</v>
      </c>
      <c r="B6">
        <v>0</v>
      </c>
      <c r="C6" s="217" t="s">
        <v>342</v>
      </c>
      <c r="D6" s="1"/>
      <c r="F6" s="1" t="s">
        <v>344</v>
      </c>
      <c r="G6" s="158">
        <v>11</v>
      </c>
      <c r="H6" s="202" t="s">
        <v>349</v>
      </c>
      <c r="O6" s="1"/>
    </row>
    <row r="7" spans="1:27" ht="15" x14ac:dyDescent="0.25">
      <c r="A7" s="159">
        <v>43374</v>
      </c>
      <c r="B7">
        <v>1</v>
      </c>
      <c r="C7" s="217" t="s">
        <v>241</v>
      </c>
      <c r="D7" s="1"/>
      <c r="F7" s="1" t="s">
        <v>347</v>
      </c>
      <c r="G7" s="158">
        <v>6</v>
      </c>
      <c r="H7" s="202" t="s">
        <v>243</v>
      </c>
      <c r="O7" s="1"/>
    </row>
    <row r="8" spans="1:27" ht="15" x14ac:dyDescent="0.25">
      <c r="A8" s="159">
        <v>43405</v>
      </c>
      <c r="B8">
        <v>2</v>
      </c>
      <c r="C8" s="217" t="s">
        <v>241</v>
      </c>
      <c r="D8" s="1"/>
      <c r="F8" s="1" t="s">
        <v>348</v>
      </c>
      <c r="G8" s="158">
        <v>3</v>
      </c>
      <c r="H8" s="202" t="s">
        <v>351</v>
      </c>
      <c r="O8" s="1"/>
    </row>
    <row r="9" spans="1:27" ht="15" x14ac:dyDescent="0.25">
      <c r="A9" s="159">
        <v>43435</v>
      </c>
      <c r="B9">
        <v>4</v>
      </c>
      <c r="C9" s="217" t="s">
        <v>241</v>
      </c>
      <c r="D9" s="160"/>
      <c r="F9" s="1" t="s">
        <v>346</v>
      </c>
      <c r="G9" s="158">
        <v>1</v>
      </c>
      <c r="H9" s="202" t="s">
        <v>351</v>
      </c>
      <c r="O9" s="1"/>
    </row>
    <row r="10" spans="1:27" ht="15" x14ac:dyDescent="0.25">
      <c r="A10" s="159">
        <v>43466</v>
      </c>
      <c r="B10">
        <v>1</v>
      </c>
      <c r="C10" s="217" t="s">
        <v>241</v>
      </c>
      <c r="D10" s="160"/>
      <c r="F10" s="1" t="s">
        <v>377</v>
      </c>
      <c r="G10" s="158">
        <v>1</v>
      </c>
      <c r="H10" s="202" t="s">
        <v>381</v>
      </c>
      <c r="O10" s="1"/>
    </row>
    <row r="11" spans="1:27" ht="15" x14ac:dyDescent="0.25">
      <c r="A11" s="159">
        <v>43497</v>
      </c>
      <c r="B11">
        <v>6</v>
      </c>
      <c r="C11" s="217" t="s">
        <v>241</v>
      </c>
      <c r="D11" s="160"/>
      <c r="F11" s="1" t="s">
        <v>378</v>
      </c>
      <c r="G11" s="158">
        <v>1</v>
      </c>
      <c r="H11" s="202" t="s">
        <v>243</v>
      </c>
      <c r="O11" s="1"/>
    </row>
    <row r="12" spans="1:27" ht="15" x14ac:dyDescent="0.25">
      <c r="A12" s="159">
        <v>43525</v>
      </c>
      <c r="B12">
        <v>3</v>
      </c>
      <c r="C12" s="217" t="s">
        <v>241</v>
      </c>
      <c r="D12" s="160"/>
      <c r="F12" s="1" t="s">
        <v>379</v>
      </c>
      <c r="G12" s="158">
        <v>1</v>
      </c>
      <c r="H12" s="202" t="s">
        <v>243</v>
      </c>
      <c r="O12" s="1"/>
    </row>
    <row r="13" spans="1:27" ht="15" x14ac:dyDescent="0.25">
      <c r="A13" s="159">
        <v>43556</v>
      </c>
      <c r="B13">
        <v>2</v>
      </c>
      <c r="C13" s="217" t="s">
        <v>241</v>
      </c>
      <c r="D13" s="160"/>
      <c r="F13" s="1" t="s">
        <v>362</v>
      </c>
      <c r="G13" s="158">
        <v>1</v>
      </c>
      <c r="H13" s="202" t="s">
        <v>243</v>
      </c>
      <c r="O13" s="1"/>
    </row>
    <row r="14" spans="1:27" ht="15" x14ac:dyDescent="0.25">
      <c r="A14" s="159">
        <v>43586</v>
      </c>
      <c r="B14">
        <v>4</v>
      </c>
      <c r="C14" s="217" t="s">
        <v>241</v>
      </c>
      <c r="D14" s="160"/>
      <c r="F14" s="1" t="s">
        <v>380</v>
      </c>
      <c r="G14" s="158">
        <v>1</v>
      </c>
      <c r="H14" s="202" t="s">
        <v>313</v>
      </c>
      <c r="O14" s="1"/>
    </row>
    <row r="15" spans="1:27" ht="15" x14ac:dyDescent="0.25">
      <c r="A15" s="159">
        <v>43617</v>
      </c>
      <c r="B15">
        <v>6</v>
      </c>
      <c r="C15" s="217" t="s">
        <v>241</v>
      </c>
      <c r="D15" s="160"/>
      <c r="O15" s="1"/>
    </row>
    <row r="16" spans="1:27" ht="15" x14ac:dyDescent="0.25">
      <c r="A16" s="159">
        <v>43647</v>
      </c>
      <c r="B16">
        <v>5</v>
      </c>
      <c r="C16" s="217" t="s">
        <v>241</v>
      </c>
      <c r="D16" s="160"/>
      <c r="O16" s="1"/>
    </row>
    <row r="17" spans="1:15" ht="15" x14ac:dyDescent="0.25">
      <c r="A17" s="159">
        <v>43678</v>
      </c>
      <c r="B17">
        <v>23</v>
      </c>
      <c r="C17" s="217" t="s">
        <v>241</v>
      </c>
      <c r="D17" s="160"/>
      <c r="O17" s="1"/>
    </row>
    <row r="18" spans="1:15" ht="15" x14ac:dyDescent="0.25">
      <c r="A18" s="159">
        <v>43709</v>
      </c>
      <c r="B18">
        <v>3</v>
      </c>
      <c r="C18" s="217" t="s">
        <v>241</v>
      </c>
      <c r="D18" s="160"/>
      <c r="I18" s="38"/>
      <c r="O18" s="1"/>
    </row>
    <row r="19" spans="1:15" ht="15" x14ac:dyDescent="0.25">
      <c r="A19" s="159">
        <v>43739</v>
      </c>
      <c r="B19">
        <v>0</v>
      </c>
      <c r="C19" s="217" t="s">
        <v>241</v>
      </c>
      <c r="D19" s="160"/>
      <c r="I19" s="38"/>
      <c r="O19" s="1"/>
    </row>
    <row r="20" spans="1:15" ht="15" x14ac:dyDescent="0.25">
      <c r="A20" s="159">
        <v>43770</v>
      </c>
      <c r="B20">
        <v>1</v>
      </c>
      <c r="C20" s="217" t="s">
        <v>241</v>
      </c>
      <c r="D20" s="160"/>
      <c r="I20" s="38"/>
      <c r="O20" s="1"/>
    </row>
    <row r="21" spans="1:15" ht="15" x14ac:dyDescent="0.25">
      <c r="A21" s="159">
        <v>43800</v>
      </c>
      <c r="B21">
        <v>4</v>
      </c>
      <c r="C21" s="217" t="s">
        <v>241</v>
      </c>
      <c r="D21" s="160"/>
      <c r="I21" s="38"/>
      <c r="O21" s="1"/>
    </row>
    <row r="22" spans="1:15" ht="15" x14ac:dyDescent="0.25">
      <c r="A22" s="159">
        <v>43831</v>
      </c>
      <c r="B22">
        <v>2</v>
      </c>
      <c r="C22" s="217" t="s">
        <v>241</v>
      </c>
      <c r="D22" s="160"/>
      <c r="I22" s="38"/>
      <c r="O22" s="1"/>
    </row>
    <row r="23" spans="1:15" ht="15" x14ac:dyDescent="0.25">
      <c r="A23" s="159">
        <v>43862</v>
      </c>
      <c r="B23">
        <v>1</v>
      </c>
      <c r="C23" s="217" t="s">
        <v>241</v>
      </c>
      <c r="D23" s="160"/>
      <c r="O23" s="1"/>
    </row>
    <row r="24" spans="1:15" ht="15" x14ac:dyDescent="0.25">
      <c r="A24" s="159">
        <v>43891</v>
      </c>
      <c r="B24">
        <v>1</v>
      </c>
      <c r="C24" s="217" t="s">
        <v>241</v>
      </c>
      <c r="D24" s="160"/>
      <c r="O24" s="1"/>
    </row>
    <row r="25" spans="1:15" ht="15" x14ac:dyDescent="0.25">
      <c r="A25" s="159">
        <v>43922</v>
      </c>
      <c r="B25">
        <v>1</v>
      </c>
      <c r="C25" s="217" t="s">
        <v>241</v>
      </c>
      <c r="D25" s="160"/>
      <c r="O25" s="1"/>
    </row>
    <row r="26" spans="1:15" ht="15" x14ac:dyDescent="0.25">
      <c r="A26" s="159">
        <v>43952</v>
      </c>
      <c r="B26">
        <v>2</v>
      </c>
      <c r="C26" s="217" t="s">
        <v>241</v>
      </c>
      <c r="D26" s="160"/>
      <c r="O26" s="1"/>
    </row>
    <row r="27" spans="1:15" ht="15" x14ac:dyDescent="0.25">
      <c r="A27" s="159">
        <v>43983</v>
      </c>
      <c r="B27">
        <v>3</v>
      </c>
      <c r="C27" s="217" t="s">
        <v>241</v>
      </c>
      <c r="D27" s="160"/>
      <c r="O27" s="1"/>
    </row>
    <row r="28" spans="1:15" ht="15" x14ac:dyDescent="0.25">
      <c r="A28" s="159">
        <v>44013</v>
      </c>
      <c r="B28">
        <v>1</v>
      </c>
      <c r="C28" s="217" t="s">
        <v>241</v>
      </c>
      <c r="D28" s="160"/>
      <c r="O28" s="1"/>
    </row>
    <row r="29" spans="1:15" ht="15" x14ac:dyDescent="0.25">
      <c r="A29" s="159">
        <v>44044</v>
      </c>
      <c r="B29">
        <v>2</v>
      </c>
      <c r="C29" s="217" t="s">
        <v>241</v>
      </c>
      <c r="D29" s="160"/>
      <c r="O29" s="1"/>
    </row>
    <row r="30" spans="1:15" ht="15" x14ac:dyDescent="0.25">
      <c r="A30" s="159">
        <v>44075</v>
      </c>
      <c r="B30">
        <v>3</v>
      </c>
      <c r="C30" s="217" t="s">
        <v>241</v>
      </c>
      <c r="D30" s="160"/>
      <c r="O30" s="1"/>
    </row>
    <row r="31" spans="1:15" ht="15" x14ac:dyDescent="0.25">
      <c r="A31" s="159">
        <v>44105</v>
      </c>
      <c r="B31">
        <v>0</v>
      </c>
      <c r="C31" s="217" t="s">
        <v>241</v>
      </c>
      <c r="D31" s="160"/>
      <c r="O31" s="1"/>
    </row>
    <row r="32" spans="1:15" ht="15" x14ac:dyDescent="0.25">
      <c r="A32" s="159">
        <v>44136</v>
      </c>
      <c r="B32">
        <v>1</v>
      </c>
      <c r="C32" s="217" t="s">
        <v>241</v>
      </c>
      <c r="D32" s="160"/>
      <c r="O32" s="1"/>
    </row>
    <row r="33" spans="1:15" ht="15" x14ac:dyDescent="0.25">
      <c r="A33" s="159">
        <v>44166</v>
      </c>
      <c r="B33">
        <v>2</v>
      </c>
      <c r="C33" s="217" t="s">
        <v>241</v>
      </c>
      <c r="D33" s="160"/>
      <c r="O33" s="1"/>
    </row>
    <row r="34" spans="1:15" ht="15" x14ac:dyDescent="0.25">
      <c r="A34" s="159">
        <v>44197</v>
      </c>
      <c r="B34">
        <v>1</v>
      </c>
      <c r="C34" s="217" t="s">
        <v>241</v>
      </c>
      <c r="D34" s="160"/>
      <c r="O34" s="1"/>
    </row>
    <row r="35" spans="1:15" ht="15" x14ac:dyDescent="0.25">
      <c r="A35" s="159">
        <v>44228</v>
      </c>
      <c r="B35">
        <v>0</v>
      </c>
      <c r="C35" s="217" t="s">
        <v>241</v>
      </c>
      <c r="D35" s="160"/>
      <c r="O35" s="1"/>
    </row>
    <row r="36" spans="1:15" ht="15" x14ac:dyDescent="0.25">
      <c r="A36" s="159">
        <v>44256</v>
      </c>
      <c r="B36">
        <v>2</v>
      </c>
      <c r="C36" s="217" t="s">
        <v>241</v>
      </c>
      <c r="D36" s="160"/>
      <c r="O36" s="1"/>
    </row>
    <row r="37" spans="1:15" ht="15" x14ac:dyDescent="0.25">
      <c r="A37" s="159">
        <v>44287</v>
      </c>
      <c r="B37">
        <v>0</v>
      </c>
      <c r="C37" s="217" t="s">
        <v>241</v>
      </c>
      <c r="D37" s="160"/>
      <c r="O37" s="1"/>
    </row>
    <row r="38" spans="1:15" ht="15" x14ac:dyDescent="0.25">
      <c r="A38" s="159">
        <v>44317</v>
      </c>
      <c r="B38">
        <v>1</v>
      </c>
      <c r="C38" s="217" t="s">
        <v>241</v>
      </c>
      <c r="D38" s="160"/>
      <c r="O38" s="1"/>
    </row>
    <row r="39" spans="1:15" ht="15" x14ac:dyDescent="0.25">
      <c r="A39" s="159">
        <v>44348</v>
      </c>
      <c r="B39">
        <v>7</v>
      </c>
      <c r="C39" s="217" t="s">
        <v>241</v>
      </c>
      <c r="D39" s="160"/>
      <c r="O39" s="1"/>
    </row>
    <row r="40" spans="1:15" ht="15" x14ac:dyDescent="0.25">
      <c r="A40" s="159">
        <v>44378</v>
      </c>
      <c r="B40">
        <v>5</v>
      </c>
      <c r="C40" s="217" t="s">
        <v>241</v>
      </c>
      <c r="D40" s="160"/>
      <c r="O40" s="1"/>
    </row>
    <row r="41" spans="1:15" ht="15" x14ac:dyDescent="0.25">
      <c r="A41" s="159">
        <v>44409</v>
      </c>
      <c r="B41">
        <v>4</v>
      </c>
      <c r="C41" s="217" t="s">
        <v>241</v>
      </c>
      <c r="D41" s="160"/>
      <c r="O41" s="1"/>
    </row>
    <row r="42" spans="1:15" ht="15" x14ac:dyDescent="0.25">
      <c r="A42" s="159">
        <v>44440</v>
      </c>
      <c r="B42">
        <v>2</v>
      </c>
      <c r="C42" s="217" t="s">
        <v>241</v>
      </c>
      <c r="D42" s="160"/>
      <c r="O42" s="1"/>
    </row>
    <row r="43" spans="1:15" ht="15" x14ac:dyDescent="0.25">
      <c r="A43" s="159">
        <v>44470</v>
      </c>
      <c r="B43">
        <v>1</v>
      </c>
      <c r="C43" s="217" t="s">
        <v>241</v>
      </c>
      <c r="D43" s="160"/>
      <c r="O43" s="1"/>
    </row>
    <row r="44" spans="1:15" ht="15" x14ac:dyDescent="0.25">
      <c r="A44" s="159">
        <v>44501</v>
      </c>
      <c r="B44">
        <v>5</v>
      </c>
      <c r="C44" s="217" t="s">
        <v>241</v>
      </c>
      <c r="D44" s="160"/>
      <c r="O44" s="1"/>
    </row>
    <row r="45" spans="1:15" ht="15" x14ac:dyDescent="0.25">
      <c r="A45" s="159">
        <v>44531</v>
      </c>
      <c r="B45">
        <v>2</v>
      </c>
      <c r="C45" s="217" t="s">
        <v>241</v>
      </c>
      <c r="D45" s="160"/>
      <c r="O45" s="1"/>
    </row>
    <row r="46" spans="1:15" ht="15" x14ac:dyDescent="0.25">
      <c r="A46" s="159">
        <v>44562</v>
      </c>
      <c r="B46">
        <v>1</v>
      </c>
      <c r="C46" s="217" t="s">
        <v>241</v>
      </c>
      <c r="D46" s="160"/>
      <c r="O46" s="1"/>
    </row>
    <row r="47" spans="1:15" ht="15" x14ac:dyDescent="0.25">
      <c r="A47" s="159">
        <v>44593</v>
      </c>
      <c r="B47">
        <v>1</v>
      </c>
      <c r="C47" s="217" t="s">
        <v>241</v>
      </c>
      <c r="D47" s="160"/>
      <c r="O47" s="1"/>
    </row>
    <row r="48" spans="1:15" ht="15" x14ac:dyDescent="0.25">
      <c r="A48" s="159">
        <v>44621</v>
      </c>
      <c r="B48">
        <v>0</v>
      </c>
      <c r="C48" s="217" t="s">
        <v>241</v>
      </c>
      <c r="D48" s="160"/>
      <c r="O48" s="1"/>
    </row>
    <row r="49" spans="1:15" ht="15" x14ac:dyDescent="0.25">
      <c r="A49" s="159">
        <v>44652</v>
      </c>
      <c r="B49">
        <v>5</v>
      </c>
      <c r="C49" s="217" t="s">
        <v>241</v>
      </c>
      <c r="D49" s="160"/>
      <c r="O49" s="1"/>
    </row>
    <row r="50" spans="1:15" ht="15" x14ac:dyDescent="0.25">
      <c r="A50" s="159">
        <v>44682</v>
      </c>
      <c r="B50">
        <v>10</v>
      </c>
      <c r="C50" s="217" t="s">
        <v>241</v>
      </c>
      <c r="D50" s="160"/>
      <c r="O50" s="1"/>
    </row>
    <row r="51" spans="1:15" ht="15" x14ac:dyDescent="0.25">
      <c r="A51" s="159">
        <v>44713</v>
      </c>
      <c r="B51">
        <v>6</v>
      </c>
      <c r="C51" s="217" t="s">
        <v>241</v>
      </c>
      <c r="D51" s="160"/>
      <c r="O51" s="1"/>
    </row>
    <row r="52" spans="1:15" ht="15" x14ac:dyDescent="0.25">
      <c r="A52" s="159">
        <v>44743</v>
      </c>
      <c r="B52">
        <v>13</v>
      </c>
      <c r="C52" s="217" t="s">
        <v>241</v>
      </c>
      <c r="D52" s="160"/>
      <c r="O52" s="1"/>
    </row>
    <row r="53" spans="1:15" ht="15" x14ac:dyDescent="0.25">
      <c r="A53" s="159">
        <v>44774</v>
      </c>
      <c r="B53">
        <v>9</v>
      </c>
      <c r="C53" s="217" t="s">
        <v>241</v>
      </c>
      <c r="D53" s="160"/>
      <c r="O53" s="1"/>
    </row>
    <row r="54" spans="1:15" ht="15" x14ac:dyDescent="0.25">
      <c r="A54" s="159">
        <v>44805</v>
      </c>
      <c r="B54">
        <v>3</v>
      </c>
      <c r="C54" s="217" t="s">
        <v>241</v>
      </c>
      <c r="D54" s="160"/>
      <c r="O54" s="1"/>
    </row>
    <row r="55" spans="1:15" ht="15" x14ac:dyDescent="0.25">
      <c r="A55" s="159">
        <v>44835</v>
      </c>
      <c r="B55">
        <v>7</v>
      </c>
      <c r="C55" s="217" t="s">
        <v>241</v>
      </c>
      <c r="D55" s="160"/>
      <c r="O55" s="1"/>
    </row>
    <row r="56" spans="1:15" ht="15" x14ac:dyDescent="0.25">
      <c r="A56" s="159">
        <v>44866</v>
      </c>
      <c r="B56">
        <v>7</v>
      </c>
      <c r="C56" s="217" t="s">
        <v>241</v>
      </c>
      <c r="D56" s="160"/>
      <c r="O56" s="1"/>
    </row>
    <row r="57" spans="1:15" ht="15" x14ac:dyDescent="0.25">
      <c r="A57" s="159">
        <v>44896</v>
      </c>
      <c r="B57">
        <v>9</v>
      </c>
      <c r="C57" s="217" t="s">
        <v>241</v>
      </c>
      <c r="D57" s="160"/>
      <c r="O57" s="1"/>
    </row>
    <row r="58" spans="1:15" ht="15" x14ac:dyDescent="0.25">
      <c r="A58" s="159">
        <v>44927</v>
      </c>
      <c r="B58">
        <v>5</v>
      </c>
      <c r="C58" s="217" t="s">
        <v>241</v>
      </c>
      <c r="D58" s="160"/>
      <c r="O58" s="1"/>
    </row>
    <row r="59" spans="1:15" ht="15" x14ac:dyDescent="0.25">
      <c r="A59" s="159">
        <v>44958</v>
      </c>
      <c r="B59">
        <v>10</v>
      </c>
      <c r="C59" s="217" t="s">
        <v>241</v>
      </c>
      <c r="D59" s="160"/>
      <c r="O59" s="1"/>
    </row>
    <row r="60" spans="1:15" ht="15" x14ac:dyDescent="0.25">
      <c r="A60" s="159">
        <v>44986</v>
      </c>
      <c r="B60">
        <v>7</v>
      </c>
      <c r="C60" s="217" t="s">
        <v>241</v>
      </c>
      <c r="D60" s="160"/>
      <c r="O60" s="1"/>
    </row>
    <row r="61" spans="1:15" ht="15" x14ac:dyDescent="0.25">
      <c r="A61" s="159">
        <v>45017</v>
      </c>
      <c r="B61">
        <v>18</v>
      </c>
      <c r="C61" s="217" t="s">
        <v>241</v>
      </c>
      <c r="D61" s="160"/>
      <c r="O61" s="1"/>
    </row>
    <row r="62" spans="1:15" ht="15" x14ac:dyDescent="0.25">
      <c r="A62" s="159">
        <v>45047</v>
      </c>
      <c r="B62">
        <v>5</v>
      </c>
      <c r="C62" s="217" t="s">
        <v>241</v>
      </c>
      <c r="D62" s="160"/>
      <c r="O62" s="1"/>
    </row>
    <row r="63" spans="1:15" ht="15" x14ac:dyDescent="0.25">
      <c r="A63" s="159">
        <v>45078</v>
      </c>
      <c r="B63">
        <v>15</v>
      </c>
      <c r="C63" s="217" t="s">
        <v>241</v>
      </c>
      <c r="D63" s="160"/>
      <c r="O63" s="1"/>
    </row>
    <row r="64" spans="1:15" ht="15" x14ac:dyDescent="0.25">
      <c r="A64" s="159">
        <v>45108</v>
      </c>
      <c r="B64">
        <v>7</v>
      </c>
      <c r="C64" s="217" t="s">
        <v>241</v>
      </c>
      <c r="D64" s="160"/>
      <c r="O64" s="1"/>
    </row>
    <row r="65" spans="1:15" ht="15" x14ac:dyDescent="0.25">
      <c r="A65" s="159"/>
      <c r="B65"/>
      <c r="C65" s="81"/>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2.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3.xml><?xml version="1.0" encoding="utf-8"?>
<ds:datastoreItem xmlns:ds="http://schemas.openxmlformats.org/officeDocument/2006/customXml" ds:itemID="{1BCFE2A8-4EEF-46AB-B6CE-AE8E38D81F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Andrews</dc:creator>
  <cp:keywords/>
  <dc:description/>
  <cp:lastModifiedBy>Alex Andrews</cp:lastModifiedBy>
  <cp:revision/>
  <dcterms:created xsi:type="dcterms:W3CDTF">2023-03-27T15:01:32Z</dcterms:created>
  <dcterms:modified xsi:type="dcterms:W3CDTF">2023-11-15T19:03:02Z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