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626" documentId="8_{C35C686B-21C5-40FC-8B6C-8853F62AA08B}" xr6:coauthVersionLast="47" xr6:coauthVersionMax="47" xr10:uidLastSave="{55C46B37-B37A-49B4-81F2-D440CC61B15A}"/>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8" l="1"/>
  <c r="T43" i="48" l="1"/>
  <c r="U43" i="48" s="1"/>
  <c r="T42" i="48"/>
  <c r="U42" i="48" s="1"/>
  <c r="T41" i="48"/>
  <c r="U41" i="48" s="1"/>
  <c r="T40" i="48"/>
  <c r="U40" i="48" s="1"/>
  <c r="T39" i="48"/>
  <c r="U39" i="48" s="1"/>
  <c r="T38" i="48"/>
  <c r="U38" i="48" s="1"/>
  <c r="T43" i="36"/>
  <c r="U43" i="36" s="1"/>
  <c r="T42" i="36"/>
  <c r="U42" i="36" s="1"/>
  <c r="T41" i="36"/>
  <c r="U41" i="36" s="1"/>
  <c r="U40" i="36"/>
  <c r="T40" i="36"/>
  <c r="T39" i="36"/>
  <c r="U39" i="36" s="1"/>
  <c r="T38" i="36"/>
  <c r="U38" i="36" s="1"/>
  <c r="T38" i="32"/>
  <c r="T43" i="32"/>
  <c r="U43" i="32" s="1"/>
  <c r="U42" i="32"/>
  <c r="T42" i="32"/>
  <c r="T41" i="32"/>
  <c r="U41" i="32" s="1"/>
  <c r="T40" i="32"/>
  <c r="U40" i="32" s="1"/>
  <c r="U39" i="32"/>
  <c r="T39" i="32"/>
  <c r="U38" i="32"/>
  <c r="T43" i="18"/>
  <c r="U43" i="18" s="1"/>
  <c r="T42" i="18"/>
  <c r="U42" i="18" s="1"/>
  <c r="T41" i="18"/>
  <c r="U41" i="18" s="1"/>
  <c r="T40" i="18"/>
  <c r="U40" i="18" s="1"/>
  <c r="T39" i="18"/>
  <c r="U39" i="18" s="1"/>
  <c r="U38" i="18"/>
  <c r="T38" i="18"/>
  <c r="C15" i="13" l="1"/>
  <c r="C7" i="18"/>
  <c r="B7" i="29"/>
  <c r="O29" i="18" l="1"/>
  <c r="O30" i="18"/>
  <c r="O33" i="18"/>
  <c r="O34" i="18"/>
  <c r="G8" i="18"/>
  <c r="D19" i="13"/>
  <c r="C18" i="43" l="1"/>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B15" i="29"/>
  <c r="B14" i="29"/>
  <c r="B13" i="29"/>
  <c r="B12" i="29"/>
  <c r="B11" i="29"/>
  <c r="B10" i="29"/>
  <c r="B9" i="29"/>
  <c r="B8" i="29"/>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D10" i="18"/>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N34" i="18"/>
  <c r="M34" i="18"/>
  <c r="L34" i="18"/>
  <c r="K34" i="18"/>
  <c r="J34" i="18"/>
  <c r="I34" i="18"/>
  <c r="H34" i="18"/>
  <c r="G34" i="18"/>
  <c r="F34" i="18"/>
  <c r="E34" i="18"/>
  <c r="D34" i="18"/>
  <c r="C34" i="18"/>
  <c r="B34" i="18"/>
  <c r="W33" i="18"/>
  <c r="F11" i="18" s="1"/>
  <c r="V33" i="18"/>
  <c r="U33" i="18"/>
  <c r="T33" i="18"/>
  <c r="S33" i="18"/>
  <c r="R33" i="18"/>
  <c r="Q33" i="18"/>
  <c r="P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F21" i="13"/>
  <c r="F8" i="23" s="1"/>
  <c r="B32" i="23" s="1"/>
  <c r="J21" i="13"/>
  <c r="J8" i="23" s="1"/>
  <c r="I12" i="13"/>
  <c r="I6" i="22" s="1"/>
  <c r="E12" i="13"/>
  <c r="H33" i="25" l="1"/>
  <c r="K9"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G21" i="13"/>
  <c r="G8" i="23" s="1"/>
  <c r="G35" i="25"/>
  <c r="E35" i="25"/>
  <c r="F35" i="25" s="1"/>
  <c r="E34" i="25"/>
  <c r="F34" i="25" s="1"/>
  <c r="E37" i="25"/>
  <c r="G33" i="25"/>
  <c r="F33" i="25"/>
  <c r="E38" i="25"/>
  <c r="F38" i="25" s="1"/>
  <c r="G36" i="25"/>
  <c r="E36" i="25"/>
  <c r="G34" i="25"/>
  <c r="G37" i="25"/>
  <c r="G38" i="25"/>
  <c r="F34" i="15"/>
  <c r="F37" i="15"/>
  <c r="F35" i="15"/>
  <c r="M21" i="13"/>
  <c r="N21" i="13" s="1"/>
  <c r="L21" i="13"/>
  <c r="L8" i="23" s="1"/>
  <c r="L9" i="23" s="1"/>
  <c r="G36" i="22"/>
  <c r="G34" i="22"/>
  <c r="G33" i="22"/>
  <c r="G32" i="22"/>
  <c r="F32" i="22" s="1"/>
  <c r="E37" i="22"/>
  <c r="E36" i="22"/>
  <c r="E34" i="22"/>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H19" i="13"/>
  <c r="H8" i="15" s="1"/>
  <c r="G20" i="13"/>
  <c r="G8" i="22" s="1"/>
  <c r="G13" i="13"/>
  <c r="F20" i="13"/>
  <c r="F8" i="22" s="1"/>
  <c r="B32" i="22" s="1"/>
  <c r="F13" i="13"/>
  <c r="J12" i="13"/>
  <c r="I14" i="13"/>
  <c r="I6" i="25" s="1"/>
  <c r="N20" i="13"/>
  <c r="M22" i="13"/>
  <c r="M8" i="25" s="1"/>
  <c r="K12" i="13"/>
  <c r="I13" i="13"/>
  <c r="E13" i="13"/>
  <c r="E6" i="23" s="1"/>
  <c r="F37" i="25" l="1"/>
  <c r="M9" i="25"/>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E19" i="25"/>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F34" i="22"/>
  <c r="F20" i="15"/>
  <c r="F36" i="25"/>
  <c r="H36" i="25"/>
  <c r="H37" i="25"/>
  <c r="I37" i="25" s="1"/>
  <c r="J38" i="25"/>
  <c r="H35" i="25"/>
  <c r="J37" i="25"/>
  <c r="J34" i="25"/>
  <c r="J35" i="25"/>
  <c r="H34" i="25"/>
  <c r="H38" i="25"/>
  <c r="I38" i="25" s="1"/>
  <c r="J33" i="25"/>
  <c r="I33" i="25" s="1"/>
  <c r="J36" i="25"/>
  <c r="I36" i="25" s="1"/>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X5" i="25" l="1"/>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7" i="25"/>
  <c r="H19" i="25"/>
  <c r="I34" i="25"/>
  <c r="G23" i="25"/>
  <c r="G20" i="25"/>
  <c r="E22" i="25"/>
  <c r="E20" i="25"/>
  <c r="F20" i="25" s="1"/>
  <c r="G24" i="25"/>
  <c r="G21" i="25"/>
  <c r="E23" i="25"/>
  <c r="F23" i="25" s="1"/>
  <c r="E24" i="25"/>
  <c r="F24" i="25" s="1"/>
  <c r="E21" i="25"/>
  <c r="G19" i="25"/>
  <c r="F19" i="25" s="1"/>
  <c r="G22" i="25"/>
  <c r="G11" i="13"/>
  <c r="G6" i="15" s="1"/>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L33" i="22"/>
  <c r="M36" i="25"/>
  <c r="K36" i="25"/>
  <c r="M34" i="25"/>
  <c r="M33" i="25"/>
  <c r="L33" i="25" s="1"/>
  <c r="K35" i="25"/>
  <c r="K37" i="25"/>
  <c r="K34" i="25"/>
  <c r="L34" i="25" s="1"/>
  <c r="M35" i="25"/>
  <c r="M38" i="25"/>
  <c r="K38" i="25"/>
  <c r="M37" i="25"/>
  <c r="L37" i="25" s="1"/>
  <c r="B35" i="25"/>
  <c r="C35" i="25" s="1"/>
  <c r="D33" i="25"/>
  <c r="C33" i="25" s="1"/>
  <c r="B37" i="25"/>
  <c r="C37" i="25" s="1"/>
  <c r="B34" i="25"/>
  <c r="C34" i="25" s="1"/>
  <c r="D36" i="25"/>
  <c r="C36" i="25" s="1"/>
  <c r="B36" i="25"/>
  <c r="D34" i="25"/>
  <c r="D37" i="25"/>
  <c r="D38" i="25"/>
  <c r="D35" i="25"/>
  <c r="B38" i="25"/>
  <c r="C38" i="25" s="1"/>
  <c r="I35" i="25"/>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L36" i="25" l="1"/>
  <c r="F22" i="25"/>
  <c r="D24" i="25"/>
  <c r="D21" i="25"/>
  <c r="B21" i="25"/>
  <c r="D19" i="25"/>
  <c r="C19" i="25"/>
  <c r="D22" i="25"/>
  <c r="B22" i="25"/>
  <c r="C22" i="25" s="1"/>
  <c r="D20" i="25"/>
  <c r="B24" i="25"/>
  <c r="C24" i="25" s="1"/>
  <c r="D23" i="25"/>
  <c r="B23" i="25"/>
  <c r="B20" i="25"/>
  <c r="L38" i="25"/>
  <c r="V5" i="25"/>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M7" i="25"/>
  <c r="K19"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L35" i="25"/>
  <c r="J23" i="25"/>
  <c r="I23" i="25" s="1"/>
  <c r="H20" i="25"/>
  <c r="I20" i="25" s="1"/>
  <c r="H24" i="25"/>
  <c r="I24" i="25" s="1"/>
  <c r="J19" i="25"/>
  <c r="I19" i="25" s="1"/>
  <c r="H23" i="25"/>
  <c r="J24" i="25"/>
  <c r="J21" i="25"/>
  <c r="H21" i="25"/>
  <c r="H22" i="25"/>
  <c r="J20" i="25"/>
  <c r="J22" i="25"/>
  <c r="F21"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S36" i="22"/>
  <c r="S33" i="22"/>
  <c r="S32" i="22"/>
  <c r="R32" i="22" s="1"/>
  <c r="S35" i="22"/>
  <c r="S34" i="22"/>
  <c r="Q36" i="22"/>
  <c r="Q34" i="22"/>
  <c r="N37" i="22"/>
  <c r="N35" i="22"/>
  <c r="N33" i="22"/>
  <c r="P32" i="22"/>
  <c r="O32" i="22" s="1"/>
  <c r="P36" i="22"/>
  <c r="P33" i="22"/>
  <c r="N36" i="22"/>
  <c r="P35" i="22"/>
  <c r="P34" i="22"/>
  <c r="N34" i="22"/>
  <c r="P37" i="22"/>
  <c r="R37" i="22" l="1"/>
  <c r="K21" i="25"/>
  <c r="M23" i="25"/>
  <c r="K23" i="25"/>
  <c r="L23" i="25" s="1"/>
  <c r="M22" i="25"/>
  <c r="M21" i="25"/>
  <c r="M24" i="25"/>
  <c r="K20" i="25"/>
  <c r="K24" i="25"/>
  <c r="M20" i="25"/>
  <c r="M19" i="25"/>
  <c r="L19" i="25" s="1"/>
  <c r="K22" i="25"/>
  <c r="L22" i="25" s="1"/>
  <c r="I22" i="25"/>
  <c r="I21" i="25"/>
  <c r="C21" i="25"/>
  <c r="C20" i="25"/>
  <c r="C23"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L24" i="25" l="1"/>
  <c r="L20" i="25"/>
  <c r="C19" i="22"/>
  <c r="L21" i="25"/>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<sst xmlns="http://schemas.openxmlformats.org/spreadsheetml/2006/main" count="1746" uniqueCount="374">
  <si>
    <t>ECE Wage Scale</t>
  </si>
  <si>
    <t>Region 3a - Alcona, Alpena, Cheboygan, Crawford, Iosco, Montmorency, Ogemaw, Oscoda, Otsego, Presque Isle, and Roscommon Counties</t>
  </si>
  <si>
    <t>September 2023</t>
  </si>
  <si>
    <t>Data Supplement</t>
  </si>
  <si>
    <t>Table of Contents (Click on links)</t>
  </si>
  <si>
    <t>Wage Scale</t>
  </si>
  <si>
    <t>A</t>
  </si>
  <si>
    <t>Systemwide Wage Scale</t>
  </si>
  <si>
    <t>B</t>
  </si>
  <si>
    <t>Notes</t>
  </si>
  <si>
    <t>Lead Teachers</t>
  </si>
  <si>
    <t>Wage Scaling</t>
  </si>
  <si>
    <t>Workforce Demographics</t>
  </si>
  <si>
    <t>C</t>
  </si>
  <si>
    <t>Top Comparable Occupations</t>
  </si>
  <si>
    <t>D</t>
  </si>
  <si>
    <t>Employment and Wage Trends</t>
  </si>
  <si>
    <t>E</t>
  </si>
  <si>
    <t>Occupation Flows</t>
  </si>
  <si>
    <t>F</t>
  </si>
  <si>
    <t>Real-time Demand</t>
  </si>
  <si>
    <t>G</t>
  </si>
  <si>
    <t>Commuting Patterns</t>
  </si>
  <si>
    <t>Assistant Teachers</t>
  </si>
  <si>
    <t xml:space="preserve"> Aide/Floater</t>
  </si>
  <si>
    <t>Substitute Teacher</t>
  </si>
  <si>
    <t>Methodology</t>
  </si>
  <si>
    <t>Proposed - Pay Parity with K-12 Teachers</t>
  </si>
  <si>
    <t>Instructional Staff</t>
  </si>
  <si>
    <t>Current Median Wage</t>
  </si>
  <si>
    <t>Proposed Base Wage</t>
  </si>
  <si>
    <r>
      <t xml:space="preserve">Annual Salary       </t>
    </r>
    <r>
      <rPr>
        <sz val="11"/>
        <rFont val="Arial"/>
        <family val="2"/>
      </rPr>
      <t>(52 weeks)</t>
    </r>
  </si>
  <si>
    <t>ECE I</t>
  </si>
  <si>
    <t>ECE II</t>
  </si>
  <si>
    <t>ECE III</t>
  </si>
  <si>
    <t xml:space="preserve">Explanation for Proposed Base Wage </t>
  </si>
  <si>
    <t>Hourly</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</si>
  <si>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</si>
  <si>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</si>
  <si>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</si>
  <si>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</si>
  <si>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t>P1</t>
  </si>
  <si>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</si>
  <si>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</si>
  <si>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</si>
  <si>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</si>
  <si>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t>Note: All Infant/Toddler instructional roles are 10% more than Preschool roles</t>
  </si>
  <si>
    <t>CDA</t>
  </si>
  <si>
    <t>CDA + Apprenticeship</t>
  </si>
  <si>
    <t>AA</t>
  </si>
  <si>
    <t>AA + Apprenticeship</t>
  </si>
  <si>
    <t>Lead Teacher, Infant-Toddler</t>
  </si>
  <si>
    <t>Assistant Teacher, Infant-Toddler</t>
  </si>
  <si>
    <t>25% less than Lead Teacher</t>
  </si>
  <si>
    <t>Aide/floater, Infant-Toddler</t>
  </si>
  <si>
    <t>25% less than Assistant Teacher</t>
  </si>
  <si>
    <t>Substitute, Infant-Toddler</t>
  </si>
  <si>
    <t>-</t>
  </si>
  <si>
    <t>Parity with Assistant Teacher, which has similar responsibilities             (10% increase for long-term assignments)</t>
  </si>
  <si>
    <t>Note: All Professional Levels increase by 10% - Infant/Toddler instructional roles are 10% more than Preschool roles</t>
  </si>
  <si>
    <t>Lead Teacher, Preschool</t>
  </si>
  <si>
    <t>Median Hourly rate for Step 1 Teacher Salary ($41,818 a year)</t>
  </si>
  <si>
    <t>Assistant Teacher, Preschool</t>
  </si>
  <si>
    <t>Aide/floater, Preschool</t>
  </si>
  <si>
    <t xml:space="preserve">25% less than Assistant Teacher </t>
  </si>
  <si>
    <t>Substitute, Preschool</t>
  </si>
  <si>
    <t>1B | Systemwide Wage Scale -- Notes</t>
  </si>
  <si>
    <t>How to Use the Proposed Wage Scales</t>
  </si>
  <si>
    <t>Base Wage</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</si>
  <si>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</si>
  <si>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Proposed Models</t>
  </si>
  <si>
    <t xml:space="preserve">The Systemwide Wage Scales is agnostic to setting and so all functional and foundational level have a proposed wage. We recommend that Region 1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</si>
  <si>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</si>
  <si>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</si>
  <si>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</si>
  <si>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</si>
  <si>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</si>
  <si>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</si>
  <si>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</si>
  <si>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</si>
  <si>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</si>
  <si>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</si>
  <si>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</si>
  <si>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</si>
  <si>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</si>
  <si>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</si>
  <si>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</si>
  <si>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</si>
  <si>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</si>
  <si>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</si>
  <si>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</si>
  <si>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</si>
  <si>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</si>
  <si>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</si>
  <si>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</si>
  <si>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</si>
  <si>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</si>
  <si>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F1</t>
  </si>
  <si>
    <t>not applicable</t>
  </si>
  <si>
    <t>P3</t>
  </si>
  <si>
    <t>Varies, but mostly P2/ECE II</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</si>
  <si>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</si>
  <si>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</si>
  <si>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</si>
  <si>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</si>
  <si>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</si>
  <si>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</si>
  <si>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Bachelor’s Degree with at least 18 hours in Early Childhood Education; sometimes requires valid Region 1 teaching certificate</t>
  </si>
  <si>
    <t>High School Diploma and Child Development Associate (CDA) credential</t>
  </si>
  <si>
    <r>
      <t xml:space="preserve">High School Diploma + one college course in Early Childhood Education </t>
    </r>
    <r>
      <rPr>
        <u/>
        <sz val="11"/>
        <color theme="1"/>
        <rFont val="Arial"/>
        <family val="2"/>
      </rPr>
      <t>or</t>
    </r>
    <r>
      <rPr>
        <sz val="11"/>
        <color theme="1"/>
        <rFont val="Arial"/>
        <family val="2"/>
      </rPr>
      <t xml:space="preserve"> 20 hours of training</t>
    </r>
  </si>
  <si>
    <t>Assistant Teacher Minimum Qualifications</t>
  </si>
  <si>
    <t>High School Diploma + Child Development Associate (CDA) credential</t>
  </si>
  <si>
    <t>Childcare Aide Minimum Qualifications</t>
  </si>
  <si>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</si>
  <si>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</si>
  <si>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</si>
  <si>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</si>
  <si>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</si>
  <si>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</si>
  <si>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</si>
  <si>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</si>
  <si>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</si>
  <si>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</si>
  <si>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Typically negotiated through a union contract. However, less than half of School-based teachers are covered by a contract.</t>
  </si>
  <si>
    <t xml:space="preserve">Decided by the leadership of the private for-profit business, nonprofit, or faith-based organization.  </t>
  </si>
  <si>
    <t xml:space="preserve">Decided by the owner.  </t>
  </si>
  <si>
    <t>2A | Lead Teacher -- Proposed Wage Scaling</t>
  </si>
  <si>
    <r>
      <t xml:space="preserve">P1 </t>
    </r>
    <r>
      <rPr>
        <i/>
        <sz val="11"/>
        <color rgb="FFFFFFFF"/>
        <rFont val="Arial"/>
        <family val="2"/>
      </rPr>
      <t>CDA</t>
    </r>
  </si>
  <si>
    <t>Years in Lane</t>
  </si>
  <si>
    <t>HSE</t>
  </si>
  <si>
    <t>BA</t>
  </si>
  <si>
    <t>MA</t>
  </si>
  <si>
    <t>Ed.D. or Ph.D.</t>
  </si>
  <si>
    <t>Hourly Wage Increments</t>
  </si>
  <si>
    <t>Proposed Pay Scale for Lead Teacher, Infant-Toddler</t>
  </si>
  <si>
    <t>Years of Experience</t>
  </si>
  <si>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</si>
  <si>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</si>
  <si>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</si>
  <si>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t>Min</t>
  </si>
  <si>
    <t>Median</t>
  </si>
  <si>
    <t>Max</t>
  </si>
  <si>
    <t>0-3 Years</t>
  </si>
  <si>
    <t>4-6 Years</t>
  </si>
  <si>
    <t>7-9 Years</t>
  </si>
  <si>
    <t>10-12 Years</t>
  </si>
  <si>
    <t>13-15 Years</t>
  </si>
  <si>
    <t>16+ Years</t>
  </si>
  <si>
    <t>Proposed Pay Scale for Lead Teacher, Preschool</t>
  </si>
  <si>
    <t>F1, F2, F3 HSE</t>
  </si>
  <si>
    <r>
      <t xml:space="preserve">P5 </t>
    </r>
    <r>
      <rPr>
        <i/>
        <sz val="11"/>
        <color rgb="FFFFFFFF"/>
        <rFont val="Arial"/>
        <family val="2"/>
      </rPr>
      <t>Ed.D. or Ph.D</t>
    </r>
  </si>
  <si>
    <t>2B | Lead Teacher -- Workforce Demographics</t>
  </si>
  <si>
    <t>Age Distribution, Region 3a, 2022</t>
  </si>
  <si>
    <t>Education, Region 3a, 2022</t>
  </si>
  <si>
    <t>Racial/Ethnic Distribution, Region 3a, 2022</t>
  </si>
  <si>
    <t>Gender Distribution, Region 3a, 2022</t>
  </si>
  <si>
    <t>Age</t>
  </si>
  <si>
    <t>Jobs</t>
  </si>
  <si>
    <t>Percentage</t>
  </si>
  <si>
    <t>Race/Ethnicity</t>
  </si>
  <si>
    <t>Gender</t>
  </si>
  <si>
    <t>14-18</t>
  </si>
  <si>
    <t>Less than high school</t>
  </si>
  <si>
    <t>White</t>
  </si>
  <si>
    <t>Males</t>
  </si>
  <si>
    <t>19-24</t>
  </si>
  <si>
    <t>High school</t>
  </si>
  <si>
    <t>Black/African American</t>
  </si>
  <si>
    <t>Females</t>
  </si>
  <si>
    <t>25-34</t>
  </si>
  <si>
    <t>Some college</t>
  </si>
  <si>
    <t>Hispanic/Latino (any race)</t>
  </si>
  <si>
    <t>35-44</t>
  </si>
  <si>
    <t>Associate's degree</t>
  </si>
  <si>
    <t>Two or More Races</t>
  </si>
  <si>
    <t>45-54</t>
  </si>
  <si>
    <t>Bachelor's degree</t>
  </si>
  <si>
    <t>Asian</t>
  </si>
  <si>
    <t>55-64</t>
  </si>
  <si>
    <t>Master's degree</t>
  </si>
  <si>
    <t>American Indian/Alaska Native</t>
  </si>
  <si>
    <t>65+</t>
  </si>
  <si>
    <t>Doctoral or professional degree</t>
  </si>
  <si>
    <t>Native Hawaiian/Other Pacific Islander</t>
  </si>
  <si>
    <t>2C | Lead Teacher -- Top Comparable Occupations</t>
  </si>
  <si>
    <t>Top Comparable Roles, Lead Teacher</t>
  </si>
  <si>
    <t>Occupation</t>
  </si>
  <si>
    <t>Share of overlapping skills</t>
  </si>
  <si>
    <t>Median Hourly Wage, 2022</t>
  </si>
  <si>
    <t>Difference from  Lead Teacher Wage</t>
  </si>
  <si>
    <r>
      <t xml:space="preserve">Employment Growth            </t>
    </r>
    <r>
      <rPr>
        <sz val="10"/>
        <color theme="0"/>
        <rFont val="Arial"/>
        <family val="2"/>
      </rPr>
      <t>(2001-2022)</t>
    </r>
  </si>
  <si>
    <r>
      <t xml:space="preserve">Median Hourly Wage Growth </t>
    </r>
    <r>
      <rPr>
        <sz val="10"/>
        <color theme="0"/>
        <rFont val="Arial"/>
        <family val="2"/>
      </rPr>
      <t>(2005-2022)</t>
    </r>
  </si>
  <si>
    <t>#</t>
  </si>
  <si>
    <t>%</t>
  </si>
  <si>
    <t>Lead Teacher</t>
  </si>
  <si>
    <t>Kindergarten Teacher</t>
  </si>
  <si>
    <t>Self-Enrichment Teacher</t>
  </si>
  <si>
    <t>Bank Teller</t>
  </si>
  <si>
    <t>Psychiatric Aide</t>
  </si>
  <si>
    <t>Office Clerk</t>
  </si>
  <si>
    <t>2E | Lead Teacher -- Occupation Flows</t>
  </si>
  <si>
    <t>Previous</t>
  </si>
  <si>
    <t>Following</t>
  </si>
  <si>
    <t xml:space="preserve"> Occupation</t>
  </si>
  <si>
    <t>Preschool Teachers</t>
  </si>
  <si>
    <t>Teaching Assistants</t>
  </si>
  <si>
    <t>Postsecondary Teachers</t>
  </si>
  <si>
    <t>Social and Human Service Assistants</t>
  </si>
  <si>
    <t>Managers</t>
  </si>
  <si>
    <t>Secondary School Teachers</t>
  </si>
  <si>
    <t>Elementary School Teachers</t>
  </si>
  <si>
    <t>Childcare Workers</t>
  </si>
  <si>
    <t>Secretaries and Admin. Assistants</t>
  </si>
  <si>
    <t>Customer Service Representatives</t>
  </si>
  <si>
    <t>Retail Salespersons</t>
  </si>
  <si>
    <t>Supervisors of Office and Admin. Support Occupations</t>
  </si>
  <si>
    <t>2D | Lead Teacher -- Employment and Wage Trends</t>
  </si>
  <si>
    <t>Lead Teacher, Employment Trends (2001-2022)</t>
  </si>
  <si>
    <t>Region 3a</t>
  </si>
  <si>
    <t>Michigan</t>
  </si>
  <si>
    <t>United States</t>
  </si>
  <si>
    <t>Lead Teacher, Employment Growth (Indexed to 2001)</t>
  </si>
  <si>
    <t>Lead Teacher (Average of Infant-Toddler and Preschool), Growth in Median Hourly Earnings (2005-2022)</t>
  </si>
  <si>
    <t>Lead Teacher (Average of Infant-Toddler and Preschool), Median Hourly Wage Growth (Indexed to 2005)</t>
  </si>
  <si>
    <t>2F | Lead Teacher -- Real-time Demand</t>
  </si>
  <si>
    <t>Online Ads and Median Wages, Lead Teacher, Region 3a</t>
  </si>
  <si>
    <t>Top Posting Employers, Lead Teacher, Region 3a (Jan. 2022 - Jul. 2023)</t>
  </si>
  <si>
    <t>Date</t>
  </si>
  <si>
    <t>Job Postings</t>
  </si>
  <si>
    <t>Median Advertised Wage</t>
  </si>
  <si>
    <t>Employer</t>
  </si>
  <si>
    <t>Online Postings</t>
  </si>
  <si>
    <t>Median Posting Duration</t>
  </si>
  <si>
    <t>N/A</t>
  </si>
  <si>
    <t>42 days</t>
  </si>
  <si>
    <t>n/a</t>
  </si>
  <si>
    <t>32 days</t>
  </si>
  <si>
    <t>2G | Lead Teacher -- Commuting Patterns</t>
  </si>
  <si>
    <t>3A | Assistant Teacher -- Proposed Wage Scaling</t>
  </si>
  <si>
    <t>Proposed Pay Scale for Assistant Teacher, Infant-Toddler</t>
  </si>
  <si>
    <t>Proposed Pay Scale for Assistant Teacher, Preschool</t>
  </si>
  <si>
    <t>3B | Assistant Teacher -- Workforce Demographics</t>
  </si>
  <si>
    <t>3C | Assistant Teacher -- Top Comparable Occupations</t>
  </si>
  <si>
    <t>Top Comparable Roles, Assistant Teacher</t>
  </si>
  <si>
    <t xml:space="preserve">Difference from Assistant Teacher Wage            </t>
  </si>
  <si>
    <t>Assistant Teacher</t>
  </si>
  <si>
    <t>Tutor</t>
  </si>
  <si>
    <t>Administrative Assistant</t>
  </si>
  <si>
    <t>Customer Service Representative</t>
  </si>
  <si>
    <t>3D | Assistant Teacher -- Employment and Wage Trends</t>
  </si>
  <si>
    <t>Assistant Teacher, Employment Trends (2001-2022)</t>
  </si>
  <si>
    <t>Assistant Teacher, Employment Growth (Indexed to 2001)</t>
  </si>
  <si>
    <t>Assistant Teacher, Growth in Median Hourly Earnings (2005-2022)</t>
  </si>
  <si>
    <t>Assistant Teacher, Median Hourly Wage Growth (Indexed to 2005)</t>
  </si>
  <si>
    <t>3E | Assistant Teacher -- Occupation Flows</t>
  </si>
  <si>
    <t>Life, Physical, and Social Science Technicians</t>
  </si>
  <si>
    <t>Software Developers</t>
  </si>
  <si>
    <t>Teaching Assistants, Postsecondary</t>
  </si>
  <si>
    <t>Tutors</t>
  </si>
  <si>
    <t>3F | Assistant Teacher -- Real-time Demand</t>
  </si>
  <si>
    <t>41 days</t>
  </si>
  <si>
    <t>37 days</t>
  </si>
  <si>
    <t>3G | Assistant Teacher -- Commuting Patterns</t>
  </si>
  <si>
    <t>4A | Aide/Floater -- Proposed Wage Scaling</t>
  </si>
  <si>
    <t>Aide/Floater, Infant-Toddler</t>
  </si>
  <si>
    <t>Proposed Pay Scale for Aide/Floater, Infant-Toddler</t>
  </si>
  <si>
    <t>Proposed Pay Scale for Aide/Floater, Preschool</t>
  </si>
  <si>
    <t>4B | Aide/Floater -- Workforce Demographics</t>
  </si>
  <si>
    <t>4C | Aide/Floater -- Top Comparable Occupations</t>
  </si>
  <si>
    <t>Top Comparable Roles, Aide/Floater</t>
  </si>
  <si>
    <t xml:space="preserve">Difference from Aide/Floater Wage            </t>
  </si>
  <si>
    <t>Aide/Floater</t>
  </si>
  <si>
    <t>Home Health and Personal Care Aide</t>
  </si>
  <si>
    <t>Library Assistant</t>
  </si>
  <si>
    <t>Waiter/Waitress</t>
  </si>
  <si>
    <t>Library Technician</t>
  </si>
  <si>
    <t>4D | Aide/Floater -- Employment and Wage Trends</t>
  </si>
  <si>
    <t>Aide/Floater, Employment Trends (2001-2022)</t>
  </si>
  <si>
    <t>Aide/Floater, Employment Growth (Indexed to 2001)</t>
  </si>
  <si>
    <t>Aide/Floater, Growth in Median Hourly Earnings (2005-2022)</t>
  </si>
  <si>
    <t>Aide/Floater, Median Hourly Wage Growth (Indexed to 2005)</t>
  </si>
  <si>
    <t>4E | Aide/Floater -- Occupation Flows</t>
  </si>
  <si>
    <t>Waiters and Waitresses</t>
  </si>
  <si>
    <t>Teaching Assistants, Except Postsecondary</t>
  </si>
  <si>
    <t>Recreation Workers</t>
  </si>
  <si>
    <t>Cashiers</t>
  </si>
  <si>
    <t>Registered Nurses</t>
  </si>
  <si>
    <t>Fast Food and Counter Workers</t>
  </si>
  <si>
    <t>4F | Aide/Floater -- Real-time Demand</t>
  </si>
  <si>
    <t>Care Group</t>
  </si>
  <si>
    <t>4G | Aide/Floater -- Commuting Patterns</t>
  </si>
  <si>
    <t>5A | Substitute -- Proposed Wage Scaling</t>
  </si>
  <si>
    <t xml:space="preserve">- </t>
  </si>
  <si>
    <t>Proposed Pay Scale for Substitute, Infant-Toddler</t>
  </si>
  <si>
    <t>Proposed Pay Scale for Substitute, Preschool</t>
  </si>
  <si>
    <t>5B | Substitute -- Workforce Demographics</t>
  </si>
  <si>
    <t>5C | Substitute -- Top Comparable Occupations</t>
  </si>
  <si>
    <t>Top Comparable Roles, Substitute</t>
  </si>
  <si>
    <t xml:space="preserve">Difference from Substitute Wage            </t>
  </si>
  <si>
    <t>Substitute</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</si>
  <si>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</si>
  <si>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</si>
  <si>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</si>
  <si>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</si>
  <si>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</si>
  <si>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</si>
  <si>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Teachers and Instructors</t>
  </si>
  <si>
    <t>Coaches and Scouts</t>
  </si>
  <si>
    <t>Middle School Teachers</t>
  </si>
  <si>
    <t xml:space="preserve">  </t>
  </si>
  <si>
    <t>5F | Substitute -- Real-time Demand</t>
  </si>
  <si>
    <t>Ess</t>
  </si>
  <si>
    <t>5G | Substitute -- Commuting Patterns</t>
  </si>
  <si>
    <t xml:space="preserve"> </t>
  </si>
  <si>
    <t>Lead Teacher, Employment Trends, Region 3a (2001-2022)</t>
  </si>
  <si>
    <t>Lead Teacher, Employment Growth, Region 3a (Indexed to 2001)</t>
  </si>
  <si>
    <t>Lead Teacher, Growth in Median Hourly Earnings, Region 3a (2005-2022)</t>
  </si>
  <si>
    <t>Lead Teacher, Median Hourly Wage Growth, Region 3a (Indexed to 2005)</t>
  </si>
  <si>
    <t xml:space="preserve">Region 3a </t>
  </si>
  <si>
    <t>Top Preceeding and Superseding Occupations, Region 3a, 2022</t>
  </si>
  <si>
    <t>Northeast Michigan Community Service Agency</t>
  </si>
  <si>
    <t>Northwest Michigan Community Action Agency</t>
  </si>
  <si>
    <t>Nemcsa</t>
  </si>
  <si>
    <t>All Saints Catholic School</t>
  </si>
  <si>
    <t>Sunrise Childcare Center</t>
  </si>
  <si>
    <t>Edustaff</t>
  </si>
  <si>
    <t>Stepping Stones Child Care Center</t>
  </si>
  <si>
    <t>Crawford Ausable Day Care Center</t>
  </si>
  <si>
    <t>Crawford AuSable Day Care &amp; Preschool</t>
  </si>
  <si>
    <t>38 days</t>
  </si>
  <si>
    <t>33 days</t>
  </si>
  <si>
    <t>Assistant Teacher, Employment Trends, Region 3a (2001-2022)</t>
  </si>
  <si>
    <t>Assistant Teacher, Employment Growth, Region 3a (Indexed to 2001)</t>
  </si>
  <si>
    <t>Assistant Teacher, Growth in Median Hourly Earnings, Region 3a (2005-2022)</t>
  </si>
  <si>
    <t>Assistant Teacher, Median Hourly Wage Growth, Region 3a (Indexed to 2005)</t>
  </si>
  <si>
    <t>Top Preceeding and Superseding Occupations, Region 3a</t>
  </si>
  <si>
    <t>Online Ads and Median Wages, Assistant Teacher, Region 3a</t>
  </si>
  <si>
    <t>Top Posting Employers, Assistant Teacher, Region 3a (Jan. 2022 - Jul. 2023)</t>
  </si>
  <si>
    <t>Michigan State University</t>
  </si>
  <si>
    <t>Hillman Community Schools</t>
  </si>
  <si>
    <t>Dean And Company</t>
  </si>
  <si>
    <t>Acorn Health Of Michigan</t>
  </si>
  <si>
    <t>Ascension</t>
  </si>
  <si>
    <t>Kirtland Community College</t>
  </si>
  <si>
    <t>Cheboygan County</t>
  </si>
  <si>
    <t>Hale Area Schools</t>
  </si>
  <si>
    <t>Coor Intermediate School District</t>
  </si>
  <si>
    <t>8 days</t>
  </si>
  <si>
    <t>50 days</t>
  </si>
  <si>
    <t>16 days</t>
  </si>
  <si>
    <t>27 days</t>
  </si>
  <si>
    <t>Aide/Floater, Employment Trends, Region 3a (2001-2022)</t>
  </si>
  <si>
    <t>Aide/Floater, Employment Growth, Region 3a (Indexed to 2001)</t>
  </si>
  <si>
    <t>Aide/Floater, Growth in Median Hourly Earnings, Region 3a (2005-2022)</t>
  </si>
  <si>
    <t>Aide/Floater, Median Hourly Wage Growth, Region 3a (Indexed to 2005)</t>
  </si>
  <si>
    <t>Online Ads and Median Wages, Aide/Floater, Region 3a</t>
  </si>
  <si>
    <t>Top Posting Employers, Aide/Floater, Region 3a (Jan. 2022 - Jul. 2023)</t>
  </si>
  <si>
    <t>State of Michigan</t>
  </si>
  <si>
    <t>Artemide</t>
  </si>
  <si>
    <t>Chartwells</t>
  </si>
  <si>
    <t>Stepping Stones Childcare Center</t>
  </si>
  <si>
    <t>Roscommon County Commission On Aging</t>
  </si>
  <si>
    <t>Johannesburg-Lewiston Area Schools</t>
  </si>
  <si>
    <t>19 days</t>
  </si>
  <si>
    <t>31 days</t>
  </si>
  <si>
    <t>Substitute, Employment Trends, Region 3a (2001-2022)</t>
  </si>
  <si>
    <t>Substitute, Employment Growth, Region 3a (Indexed to 2001)</t>
  </si>
  <si>
    <t>Substitute, Growth in Median Hourly Earnings, Region 3a (2005-2022)</t>
  </si>
  <si>
    <t>Substitute, Median Hourly Wage Growth, Region 3a (Indexed to 2005)</t>
  </si>
  <si>
    <t>Online Ads and Median Wages, Substitute, Region 3a</t>
  </si>
  <si>
    <t>Top Posting Employers, Substitute, Region 3a (Jan. 2022 - Jul. 2023)</t>
  </si>
  <si>
    <t xml:space="preserve">The proposed wage scale benchmarks ECE wages against comparable K-12 roles by setting the Lead Teacher wage on par with the starting salary of a K-12 teacher in Region 3a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</si>
  <si>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Median Hourly rate for Step 1 Teacher Salary ($41,818 a year) + 10%</t>
  </si>
  <si>
    <t>Number of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</si>
</sst>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3" fillId="0" borderId="0"/>
  </cellStyleXfs>
  <cellXfs count="334">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0" fontId="15" fillId="0" borderId="0" xfId="0" applyFont="1" applyAlignment="1" applyProtection="1">
      <alignment horizontal="center" vertical="center"/>
      <protection locked="0"/>
    </xf>
    <xf numFmtId="164" fontId="0" fillId="0" borderId="75" xfId="1" applyNumberFormat="1" applyFont="1" applyBorder="1"/>
    <xf numFmtId="7" fontId="3" fillId="0" borderId="0" xfId="1" applyNumberFormat="1" applyFont="1" applyFill="1" applyBorder="1" applyAlignment="1">
      <alignment horizontal="center" vertical="center"/>
    </xf>
    <xf numFmtId="166" fontId="0" fillId="0" borderId="0" xfId="3" applyNumberFormat="1" applyFont="1"/>
    <xf numFmtId="7" fontId="0" fillId="0" borderId="0" xfId="0" applyNumberFormat="1"/>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21" fillId="19" borderId="18" xfId="0" applyFont="1" applyFill="1" applyBorder="1" applyAlignment="1">
      <alignment horizontal="center"/>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1" fillId="14" borderId="18" xfId="0" applyFont="1" applyFill="1" applyBorder="1" applyAlignment="1">
      <alignment horizontal="center"/>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44" fontId="21" fillId="19" borderId="18" xfId="1" applyFont="1" applyFill="1" applyBorder="1" applyAlignment="1">
      <alignment horizontal="center"/>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44" fontId="21" fillId="19" borderId="3" xfId="1" applyFont="1" applyFill="1" applyBorder="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44" fontId="21" fillId="19" borderId="2"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3" fillId="0" borderId="0" xfId="0" applyFont="1" applyAlignment="1">
      <alignment horizontal="center"/>
    </xf>
    <xf numFmtId="0" fontId="24" fillId="16" borderId="37" xfId="0" applyFont="1" applyFill="1" applyBorder="1" applyAlignment="1">
      <alignment horizontal="center"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cellXfs>
  <cellStyles count="6">
    <cellStyle name="Comma" xfId="4" builtinId="3"/>
    <cellStyle name="Currency" xfId="1" builtinId="4"/>
    <cellStyle name="Hyperlink" xfId="2" builtinId="8"/>
    <cellStyle name="Normal" xfId="0" builtinId="0"/>
    <cellStyle name="Normal 2" xfId="5" xr:uid="{6B56C0BC-33EA-4F6C-8A61-BD7A94645CB1}"/>
    <cellStyle name="Percent" xfId="3" builtinId="5"/>
  </cellStyles>
  <dxfs count="0"/>
  <tableStyles count="0" defaultTableStyle="TableStyleMedium2" defaultPivotStyle="PivotStyleLight16"/>
  <colors>
    <mruColors>
      <color rgb="FF003E51"/>
      <color rgb="FFD45D00"/>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3a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21.877443593994144</c:v>
                </c:pt>
                <c:pt idx="1">
                  <c:v>22.424379683843995</c:v>
                </c:pt>
                <c:pt idx="2">
                  <c:v>22.984989175940093</c:v>
                </c:pt>
                <c:pt idx="3">
                  <c:v>23.559613905338594</c:v>
                </c:pt>
                <c:pt idx="4">
                  <c:v>24.148604252972056</c:v>
                </c:pt>
                <c:pt idx="5">
                  <c:v>24.752319359296354</c:v>
                </c:pt>
                <c:pt idx="6">
                  <c:v>25.371127343278761</c:v>
                </c:pt>
                <c:pt idx="7">
                  <c:v>26.005405526860727</c:v>
                </c:pt>
                <c:pt idx="8">
                  <c:v>26.655540665032245</c:v>
                </c:pt>
                <c:pt idx="9">
                  <c:v>27.321929181658049</c:v>
                </c:pt>
                <c:pt idx="10">
                  <c:v>28.004977411199498</c:v>
                </c:pt>
                <c:pt idx="11">
                  <c:v>28.705101846479483</c:v>
                </c:pt>
                <c:pt idx="12">
                  <c:v>29.422729392641468</c:v>
                </c:pt>
                <c:pt idx="13">
                  <c:v>30.158297627457504</c:v>
                </c:pt>
                <c:pt idx="14">
                  <c:v>30.912255068143939</c:v>
                </c:pt>
                <c:pt idx="15">
                  <c:v>31.685061444847534</c:v>
                </c:pt>
                <c:pt idx="16">
                  <c:v>32.477187980968722</c:v>
                </c:pt>
                <c:pt idx="17">
                  <c:v>33.289117680492936</c:v>
                </c:pt>
                <c:pt idx="18">
                  <c:v>34.12134562250526</c:v>
                </c:pt>
                <c:pt idx="19">
                  <c:v>34.974379263067888</c:v>
                </c:pt>
                <c:pt idx="20">
                  <c:v>35.848738744644585</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27.380833333333339</c:v>
                </c:pt>
                <c:pt idx="1">
                  <c:v>28.065354166666669</c:v>
                </c:pt>
                <c:pt idx="2">
                  <c:v>28.766988020833335</c:v>
                </c:pt>
                <c:pt idx="3">
                  <c:v>29.486162721354166</c:v>
                </c:pt>
                <c:pt idx="4">
                  <c:v>30.223316789388019</c:v>
                </c:pt>
                <c:pt idx="5">
                  <c:v>30.978899709122718</c:v>
                </c:pt>
                <c:pt idx="6">
                  <c:v>31.753372201850784</c:v>
                </c:pt>
                <c:pt idx="7">
                  <c:v>32.547206506897048</c:v>
                </c:pt>
                <c:pt idx="8">
                  <c:v>33.360886669569474</c:v>
                </c:pt>
                <c:pt idx="9">
                  <c:v>34.194908836308706</c:v>
                </c:pt>
                <c:pt idx="10">
                  <c:v>35.04978155721642</c:v>
                </c:pt>
                <c:pt idx="11">
                  <c:v>35.926026096146828</c:v>
                </c:pt>
                <c:pt idx="12">
                  <c:v>36.824176748550492</c:v>
                </c:pt>
                <c:pt idx="13">
                  <c:v>37.74478116726425</c:v>
                </c:pt>
                <c:pt idx="14">
                  <c:v>38.688400696445854</c:v>
                </c:pt>
                <c:pt idx="15">
                  <c:v>39.655610713856994</c:v>
                </c:pt>
                <c:pt idx="16">
                  <c:v>40.647000981703414</c:v>
                </c:pt>
                <c:pt idx="17">
                  <c:v>41.663176006245997</c:v>
                </c:pt>
                <c:pt idx="18">
                  <c:v>42.704755406402143</c:v>
                </c:pt>
                <c:pt idx="19">
                  <c:v>43.772374291562194</c:v>
                </c:pt>
                <c:pt idx="20">
                  <c:v>44.866683648851243</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30.118916666666674</c:v>
                </c:pt>
                <c:pt idx="1">
                  <c:v>30.871889583333338</c:v>
                </c:pt>
                <c:pt idx="2">
                  <c:v>31.643686822916671</c:v>
                </c:pt>
                <c:pt idx="3">
                  <c:v>32.434778993489587</c:v>
                </c:pt>
                <c:pt idx="4">
                  <c:v>33.245648468326827</c:v>
                </c:pt>
                <c:pt idx="5">
                  <c:v>34.076789680034992</c:v>
                </c:pt>
                <c:pt idx="6">
                  <c:v>34.928709422035865</c:v>
                </c:pt>
                <c:pt idx="7">
                  <c:v>35.801927157586761</c:v>
                </c:pt>
                <c:pt idx="8">
                  <c:v>36.696975336526428</c:v>
                </c:pt>
                <c:pt idx="9">
                  <c:v>37.614399719939584</c:v>
                </c:pt>
                <c:pt idx="10">
                  <c:v>38.554759712938072</c:v>
                </c:pt>
                <c:pt idx="11">
                  <c:v>39.518628705761522</c:v>
                </c:pt>
                <c:pt idx="12">
                  <c:v>40.506594423405559</c:v>
                </c:pt>
                <c:pt idx="13">
                  <c:v>41.519259283990692</c:v>
                </c:pt>
                <c:pt idx="14">
                  <c:v>42.557240766090459</c:v>
                </c:pt>
                <c:pt idx="15">
                  <c:v>43.621171785242716</c:v>
                </c:pt>
                <c:pt idx="16">
                  <c:v>44.711701079873777</c:v>
                </c:pt>
                <c:pt idx="17">
                  <c:v>45.829493606870614</c:v>
                </c:pt>
                <c:pt idx="18">
                  <c:v>46.975230947042377</c:v>
                </c:pt>
                <c:pt idx="19">
                  <c:v>48.149611720718433</c:v>
                </c:pt>
                <c:pt idx="20">
                  <c:v>49.353352013736391</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33.130808333333341</c:v>
                </c:pt>
                <c:pt idx="1">
                  <c:v>33.959078541666671</c:v>
                </c:pt>
                <c:pt idx="2">
                  <c:v>34.808055505208337</c:v>
                </c:pt>
                <c:pt idx="3">
                  <c:v>35.67825689283854</c:v>
                </c:pt>
                <c:pt idx="4">
                  <c:v>36.570213315159499</c:v>
                </c:pt>
                <c:pt idx="5">
                  <c:v>37.484468648038487</c:v>
                </c:pt>
                <c:pt idx="6">
                  <c:v>38.421580364239446</c:v>
                </c:pt>
                <c:pt idx="7">
                  <c:v>39.382119873345431</c:v>
                </c:pt>
                <c:pt idx="8">
                  <c:v>40.366672870179066</c:v>
                </c:pt>
                <c:pt idx="9">
                  <c:v>41.375839691933542</c:v>
                </c:pt>
                <c:pt idx="10">
                  <c:v>42.410235684231878</c:v>
                </c:pt>
                <c:pt idx="11">
                  <c:v>43.470491576337672</c:v>
                </c:pt>
                <c:pt idx="12">
                  <c:v>44.557253865746112</c:v>
                </c:pt>
                <c:pt idx="13">
                  <c:v>45.671185212389759</c:v>
                </c:pt>
                <c:pt idx="14">
                  <c:v>46.8129648426995</c:v>
                </c:pt>
                <c:pt idx="15">
                  <c:v>47.983288963766981</c:v>
                </c:pt>
                <c:pt idx="16">
                  <c:v>49.182871187861153</c:v>
                </c:pt>
                <c:pt idx="17">
                  <c:v>50.412442967557681</c:v>
                </c:pt>
                <c:pt idx="18">
                  <c:v>51.672754041746622</c:v>
                </c:pt>
                <c:pt idx="19">
                  <c:v>52.964572892790279</c:v>
                </c:pt>
                <c:pt idx="20">
                  <c:v>54.288687215110031</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36.443889166666679</c:v>
                </c:pt>
                <c:pt idx="1">
                  <c:v>37.354986395833343</c:v>
                </c:pt>
                <c:pt idx="2">
                  <c:v>38.288861055729171</c:v>
                </c:pt>
                <c:pt idx="3">
                  <c:v>39.246082582122398</c:v>
                </c:pt>
                <c:pt idx="4">
                  <c:v>40.227234646675456</c:v>
                </c:pt>
                <c:pt idx="5">
                  <c:v>41.232915512842339</c:v>
                </c:pt>
                <c:pt idx="6">
                  <c:v>42.263738400663392</c:v>
                </c:pt>
                <c:pt idx="7">
                  <c:v>43.320331860679971</c:v>
                </c:pt>
                <c:pt idx="8">
                  <c:v>44.403340157196965</c:v>
                </c:pt>
                <c:pt idx="9">
                  <c:v>45.513423661126886</c:v>
                </c:pt>
                <c:pt idx="10">
                  <c:v>46.651259252655052</c:v>
                </c:pt>
                <c:pt idx="11">
                  <c:v>47.817540733971427</c:v>
                </c:pt>
                <c:pt idx="12">
                  <c:v>49.012979252320712</c:v>
                </c:pt>
                <c:pt idx="13">
                  <c:v>50.238303733628726</c:v>
                </c:pt>
                <c:pt idx="14">
                  <c:v>51.494261326969436</c:v>
                </c:pt>
                <c:pt idx="15">
                  <c:v>52.781617860143669</c:v>
                </c:pt>
                <c:pt idx="16">
                  <c:v>54.101158306647257</c:v>
                </c:pt>
                <c:pt idx="17">
                  <c:v>55.45368726431343</c:v>
                </c:pt>
                <c:pt idx="18">
                  <c:v>56.84002944592126</c:v>
                </c:pt>
                <c:pt idx="19">
                  <c:v>58.261030182069284</c:v>
                </c:pt>
                <c:pt idx="20">
                  <c:v>59.717555936621011</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40.08827808333335</c:v>
                </c:pt>
                <c:pt idx="1">
                  <c:v>41.090485035416677</c:v>
                </c:pt>
                <c:pt idx="2">
                  <c:v>42.117747161302091</c:v>
                </c:pt>
                <c:pt idx="3">
                  <c:v>43.170690840334643</c:v>
                </c:pt>
                <c:pt idx="4">
                  <c:v>44.249958111343005</c:v>
                </c:pt>
                <c:pt idx="5">
                  <c:v>45.356207064126579</c:v>
                </c:pt>
                <c:pt idx="6">
                  <c:v>46.490112240729736</c:v>
                </c:pt>
                <c:pt idx="7">
                  <c:v>47.652365046747974</c:v>
                </c:pt>
                <c:pt idx="8">
                  <c:v>48.843674172916671</c:v>
                </c:pt>
                <c:pt idx="9">
                  <c:v>50.064766027239585</c:v>
                </c:pt>
                <c:pt idx="10">
                  <c:v>51.316385177920573</c:v>
                </c:pt>
                <c:pt idx="11">
                  <c:v>52.59929480736858</c:v>
                </c:pt>
                <c:pt idx="12">
                  <c:v>53.91427717755279</c:v>
                </c:pt>
                <c:pt idx="13">
                  <c:v>55.262134106991603</c:v>
                </c:pt>
                <c:pt idx="14">
                  <c:v>56.643687459666388</c:v>
                </c:pt>
                <c:pt idx="15">
                  <c:v>58.059779646158042</c:v>
                </c:pt>
                <c:pt idx="16">
                  <c:v>59.511274137311986</c:v>
                </c:pt>
                <c:pt idx="17">
                  <c:v>60.999055990744779</c:v>
                </c:pt>
                <c:pt idx="18">
                  <c:v>62.524032390513391</c:v>
                </c:pt>
                <c:pt idx="19">
                  <c:v>64.087133200276213</c:v>
                </c:pt>
                <c:pt idx="20">
                  <c:v>65.689311530283106</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3a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0.87607758620689669</c:v>
                </c:pt>
                <c:pt idx="2">
                  <c:v>0.72844827586206895</c:v>
                </c:pt>
                <c:pt idx="3">
                  <c:v>-7.8663793103448135E-2</c:v>
                </c:pt>
                <c:pt idx="4">
                  <c:v>-5.1724137931034343E-2</c:v>
                </c:pt>
                <c:pt idx="5">
                  <c:v>0.10129310344827601</c:v>
                </c:pt>
                <c:pt idx="6">
                  <c:v>0.29310344827586216</c:v>
                </c:pt>
                <c:pt idx="7">
                  <c:v>0.74461206896551746</c:v>
                </c:pt>
                <c:pt idx="8">
                  <c:v>0.80387931034482751</c:v>
                </c:pt>
                <c:pt idx="9">
                  <c:v>0.7575431034482758</c:v>
                </c:pt>
                <c:pt idx="10">
                  <c:v>0.98814655172413801</c:v>
                </c:pt>
                <c:pt idx="11">
                  <c:v>0.8448275862068968</c:v>
                </c:pt>
                <c:pt idx="12">
                  <c:v>0.9612068965517242</c:v>
                </c:pt>
                <c:pt idx="13">
                  <c:v>0.77478448275862066</c:v>
                </c:pt>
                <c:pt idx="14">
                  <c:v>0.88146551724137956</c:v>
                </c:pt>
                <c:pt idx="15">
                  <c:v>0.8642241379310347</c:v>
                </c:pt>
                <c:pt idx="16">
                  <c:v>0.54956896551724155</c:v>
                </c:pt>
                <c:pt idx="17">
                  <c:v>0.6368534482758621</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0.20699999999999999</c:v>
                </c:pt>
                <c:pt idx="1">
                  <c:v>0.1321</c:v>
                </c:pt>
                <c:pt idx="2">
                  <c:v>8.3199999999999996E-2</c:v>
                </c:pt>
                <c:pt idx="3">
                  <c:v>7.8689999999999996E-2</c:v>
                </c:pt>
                <c:pt idx="4">
                  <c:v>6.7970000000000003E-2</c:v>
                </c:pt>
                <c:pt idx="5">
                  <c:v>6.6900000000000001E-2</c:v>
                </c:pt>
                <c:pt idx="6">
                  <c:v>6.6500000000000004E-2</c:v>
                </c:pt>
                <c:pt idx="7">
                  <c:v>6.6299999999999998E-2</c:v>
                </c:pt>
                <c:pt idx="8">
                  <c:v>6.5600000000000006E-2</c:v>
                </c:pt>
                <c:pt idx="9">
                  <c:v>6.0299999999999999E-2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c:v>
                </c:pt>
                <c:pt idx="1">
                  <c:v>0.14130000000000001</c:v>
                </c:pt>
                <c:pt idx="2">
                  <c:v>0.1195</c:v>
                </c:pt>
                <c:pt idx="3">
                  <c:v>0.10111000000000001</c:v>
                </c:pt>
                <c:pt idx="4">
                  <c:v>9.7339999999999996E-2</c:v>
                </c:pt>
                <c:pt idx="5">
                  <c:v>9.1399999999999995E-2</c:v>
                </c:pt>
                <c:pt idx="6">
                  <c:v>8.8999999999999996E-2</c:v>
                </c:pt>
                <c:pt idx="7">
                  <c:v>7.17E-2</c:v>
                </c:pt>
                <c:pt idx="8">
                  <c:v>6.9199999999999998E-2</c:v>
                </c:pt>
                <c:pt idx="9">
                  <c:v>6.8699999999999997E-2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4</c:v>
                </c:pt>
                <c:pt idx="1">
                  <c:v>0</c:v>
                </c:pt>
                <c:pt idx="2">
                  <c:v>3</c:v>
                </c:pt>
                <c:pt idx="3">
                  <c:v>0</c:v>
                </c:pt>
                <c:pt idx="4">
                  <c:v>0</c:v>
                </c:pt>
                <c:pt idx="5">
                  <c:v>0</c:v>
                </c:pt>
                <c:pt idx="6">
                  <c:v>4</c:v>
                </c:pt>
                <c:pt idx="7">
                  <c:v>4</c:v>
                </c:pt>
                <c:pt idx="8">
                  <c:v>0</c:v>
                </c:pt>
                <c:pt idx="9">
                  <c:v>3</c:v>
                </c:pt>
                <c:pt idx="10">
                  <c:v>9</c:v>
                </c:pt>
                <c:pt idx="11">
                  <c:v>1</c:v>
                </c:pt>
                <c:pt idx="12">
                  <c:v>11</c:v>
                </c:pt>
                <c:pt idx="13">
                  <c:v>3</c:v>
                </c:pt>
                <c:pt idx="14">
                  <c:v>9</c:v>
                </c:pt>
                <c:pt idx="15">
                  <c:v>11</c:v>
                </c:pt>
                <c:pt idx="16">
                  <c:v>4</c:v>
                </c:pt>
                <c:pt idx="17">
                  <c:v>5</c:v>
                </c:pt>
                <c:pt idx="18">
                  <c:v>9</c:v>
                </c:pt>
                <c:pt idx="19">
                  <c:v>3</c:v>
                </c:pt>
                <c:pt idx="20">
                  <c:v>0</c:v>
                </c:pt>
                <c:pt idx="21">
                  <c:v>5</c:v>
                </c:pt>
                <c:pt idx="22">
                  <c:v>1</c:v>
                </c:pt>
                <c:pt idx="23">
                  <c:v>12</c:v>
                </c:pt>
                <c:pt idx="24">
                  <c:v>16</c:v>
                </c:pt>
                <c:pt idx="25">
                  <c:v>3</c:v>
                </c:pt>
                <c:pt idx="26">
                  <c:v>8</c:v>
                </c:pt>
                <c:pt idx="27">
                  <c:v>1</c:v>
                </c:pt>
                <c:pt idx="28">
                  <c:v>0</c:v>
                </c:pt>
                <c:pt idx="29">
                  <c:v>9</c:v>
                </c:pt>
                <c:pt idx="30">
                  <c:v>6</c:v>
                </c:pt>
                <c:pt idx="31">
                  <c:v>0</c:v>
                </c:pt>
                <c:pt idx="32">
                  <c:v>11</c:v>
                </c:pt>
                <c:pt idx="33">
                  <c:v>3</c:v>
                </c:pt>
                <c:pt idx="34">
                  <c:v>2</c:v>
                </c:pt>
                <c:pt idx="35">
                  <c:v>0</c:v>
                </c:pt>
                <c:pt idx="36">
                  <c:v>1</c:v>
                </c:pt>
                <c:pt idx="37">
                  <c:v>3</c:v>
                </c:pt>
                <c:pt idx="38">
                  <c:v>0</c:v>
                </c:pt>
                <c:pt idx="39">
                  <c:v>20</c:v>
                </c:pt>
                <c:pt idx="40">
                  <c:v>4</c:v>
                </c:pt>
                <c:pt idx="41">
                  <c:v>9</c:v>
                </c:pt>
                <c:pt idx="42">
                  <c:v>0</c:v>
                </c:pt>
                <c:pt idx="43">
                  <c:v>3</c:v>
                </c:pt>
                <c:pt idx="44">
                  <c:v>5</c:v>
                </c:pt>
                <c:pt idx="45">
                  <c:v>8</c:v>
                </c:pt>
                <c:pt idx="46">
                  <c:v>1</c:v>
                </c:pt>
                <c:pt idx="47">
                  <c:v>5</c:v>
                </c:pt>
                <c:pt idx="48">
                  <c:v>5</c:v>
                </c:pt>
                <c:pt idx="49">
                  <c:v>0</c:v>
                </c:pt>
                <c:pt idx="50">
                  <c:v>2</c:v>
                </c:pt>
                <c:pt idx="51">
                  <c:v>23</c:v>
                </c:pt>
                <c:pt idx="52">
                  <c:v>4</c:v>
                </c:pt>
                <c:pt idx="53">
                  <c:v>0</c:v>
                </c:pt>
                <c:pt idx="54">
                  <c:v>2</c:v>
                </c:pt>
                <c:pt idx="55">
                  <c:v>5</c:v>
                </c:pt>
                <c:pt idx="56">
                  <c:v>1</c:v>
                </c:pt>
                <c:pt idx="57">
                  <c:v>3</c:v>
                </c:pt>
                <c:pt idx="58">
                  <c:v>5</c:v>
                </c:pt>
                <c:pt idx="59">
                  <c:v>3</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9"/>
                <c:pt idx="0">
                  <c:v>Northeast Michigan Community Service Agency</c:v>
                </c:pt>
                <c:pt idx="1">
                  <c:v>Northwest Michigan Community Action Agency</c:v>
                </c:pt>
                <c:pt idx="2">
                  <c:v>Nemcsa</c:v>
                </c:pt>
                <c:pt idx="3">
                  <c:v>All Saints Catholic School</c:v>
                </c:pt>
                <c:pt idx="4">
                  <c:v>Sunrise Childcare Center</c:v>
                </c:pt>
                <c:pt idx="5">
                  <c:v>Edustaff</c:v>
                </c:pt>
                <c:pt idx="6">
                  <c:v>Stepping Stones Child Care Center</c:v>
                </c:pt>
                <c:pt idx="7">
                  <c:v>Crawford Ausable Day Care Center</c:v>
                </c:pt>
                <c:pt idx="8">
                  <c:v>Crawford AuSable Day Care &amp; Preschool</c:v>
                </c:pt>
              </c:strCache>
            </c:strRef>
          </c:cat>
          <c:val>
            <c:numRef>
              <c:f>'2F'!$G$5:$G$14</c:f>
              <c:numCache>
                <c:formatCode>#,##0</c:formatCode>
                <c:ptCount val="10"/>
                <c:pt idx="0">
                  <c:v>44</c:v>
                </c:pt>
                <c:pt idx="1">
                  <c:v>10</c:v>
                </c:pt>
                <c:pt idx="2">
                  <c:v>3</c:v>
                </c:pt>
                <c:pt idx="3">
                  <c:v>3</c:v>
                </c:pt>
                <c:pt idx="4">
                  <c:v>2</c:v>
                </c:pt>
                <c:pt idx="5">
                  <c:v>1</c:v>
                </c:pt>
                <c:pt idx="6">
                  <c:v>1</c:v>
                </c:pt>
                <c:pt idx="7">
                  <c:v>1</c:v>
                </c:pt>
                <c:pt idx="8">
                  <c:v>1</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3a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17.501954875195317</c:v>
                </c:pt>
                <c:pt idx="1">
                  <c:v>17.939503747075197</c:v>
                </c:pt>
                <c:pt idx="2">
                  <c:v>18.387991340752073</c:v>
                </c:pt>
                <c:pt idx="3">
                  <c:v>18.847691124270874</c:v>
                </c:pt>
                <c:pt idx="4">
                  <c:v>19.318883402377644</c:v>
                </c:pt>
                <c:pt idx="5">
                  <c:v>19.801855487437084</c:v>
                </c:pt>
                <c:pt idx="6">
                  <c:v>20.296901874623011</c:v>
                </c:pt>
                <c:pt idx="7">
                  <c:v>20.804324421488584</c:v>
                </c:pt>
                <c:pt idx="8">
                  <c:v>21.324432532025796</c:v>
                </c:pt>
                <c:pt idx="9">
                  <c:v>21.857543345326437</c:v>
                </c:pt>
                <c:pt idx="10">
                  <c:v>22.403981928959595</c:v>
                </c:pt>
                <c:pt idx="11">
                  <c:v>22.964081477183584</c:v>
                </c:pt>
                <c:pt idx="12">
                  <c:v>23.538183514113172</c:v>
                </c:pt>
                <c:pt idx="13">
                  <c:v>24.126638101965998</c:v>
                </c:pt>
                <c:pt idx="14">
                  <c:v>24.729804054515146</c:v>
                </c:pt>
                <c:pt idx="15">
                  <c:v>25.348049155878023</c:v>
                </c:pt>
                <c:pt idx="16">
                  <c:v>25.981750384774973</c:v>
                </c:pt>
                <c:pt idx="17">
                  <c:v>26.631294144394346</c:v>
                </c:pt>
                <c:pt idx="18">
                  <c:v>27.297076498004202</c:v>
                </c:pt>
                <c:pt idx="19">
                  <c:v>27.979503410454306</c:v>
                </c:pt>
                <c:pt idx="20">
                  <c:v>28.678990995715662</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20.535625000000003</c:v>
                </c:pt>
                <c:pt idx="1">
                  <c:v>21.049015625000003</c:v>
                </c:pt>
                <c:pt idx="2">
                  <c:v>21.575241015625</c:v>
                </c:pt>
                <c:pt idx="3">
                  <c:v>22.114622041015622</c:v>
                </c:pt>
                <c:pt idx="4">
                  <c:v>22.667487592041009</c:v>
                </c:pt>
                <c:pt idx="5">
                  <c:v>23.234174781842032</c:v>
                </c:pt>
                <c:pt idx="6">
                  <c:v>23.815029151388082</c:v>
                </c:pt>
                <c:pt idx="7">
                  <c:v>24.410404880172781</c:v>
                </c:pt>
                <c:pt idx="8">
                  <c:v>25.020665002177097</c:v>
                </c:pt>
                <c:pt idx="9">
                  <c:v>25.64618162723152</c:v>
                </c:pt>
                <c:pt idx="10">
                  <c:v>26.287336167912308</c:v>
                </c:pt>
                <c:pt idx="11">
                  <c:v>26.944519572110114</c:v>
                </c:pt>
                <c:pt idx="12">
                  <c:v>27.618132561412864</c:v>
                </c:pt>
                <c:pt idx="13">
                  <c:v>28.308585875448184</c:v>
                </c:pt>
                <c:pt idx="14">
                  <c:v>29.016300522334387</c:v>
                </c:pt>
                <c:pt idx="15">
                  <c:v>29.741708035392744</c:v>
                </c:pt>
                <c:pt idx="16">
                  <c:v>30.48525073627756</c:v>
                </c:pt>
                <c:pt idx="17">
                  <c:v>31.247382004684496</c:v>
                </c:pt>
                <c:pt idx="18">
                  <c:v>32.028566554801607</c:v>
                </c:pt>
                <c:pt idx="19">
                  <c:v>32.829280718671647</c:v>
                </c:pt>
                <c:pt idx="20">
                  <c:v>33.650012736638438</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22.589187500000005</c:v>
                </c:pt>
                <c:pt idx="1">
                  <c:v>23.153917187500003</c:v>
                </c:pt>
                <c:pt idx="2">
                  <c:v>23.732765117187501</c:v>
                </c:pt>
                <c:pt idx="3">
                  <c:v>24.326084245117187</c:v>
                </c:pt>
                <c:pt idx="4">
                  <c:v>24.934236351245115</c:v>
                </c:pt>
                <c:pt idx="5">
                  <c:v>25.55759226002624</c:v>
                </c:pt>
                <c:pt idx="6">
                  <c:v>26.196532066526895</c:v>
                </c:pt>
                <c:pt idx="7">
                  <c:v>26.851445368190067</c:v>
                </c:pt>
                <c:pt idx="8">
                  <c:v>27.522731502394816</c:v>
                </c:pt>
                <c:pt idx="9">
                  <c:v>28.210799789954685</c:v>
                </c:pt>
                <c:pt idx="10">
                  <c:v>28.916069784703549</c:v>
                </c:pt>
                <c:pt idx="11">
                  <c:v>29.638971529321136</c:v>
                </c:pt>
                <c:pt idx="12">
                  <c:v>30.379945817554162</c:v>
                </c:pt>
                <c:pt idx="13">
                  <c:v>31.139444462993012</c:v>
                </c:pt>
                <c:pt idx="14">
                  <c:v>31.917930574567833</c:v>
                </c:pt>
                <c:pt idx="15">
                  <c:v>32.715878838932028</c:v>
                </c:pt>
                <c:pt idx="16">
                  <c:v>33.533775809905329</c:v>
                </c:pt>
                <c:pt idx="17">
                  <c:v>34.37212020515296</c:v>
                </c:pt>
                <c:pt idx="18">
                  <c:v>35.231423210281783</c:v>
                </c:pt>
                <c:pt idx="19">
                  <c:v>36.112208790538823</c:v>
                </c:pt>
                <c:pt idx="20">
                  <c:v>37.015014010302288</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24.848106250000008</c:v>
                </c:pt>
                <c:pt idx="1">
                  <c:v>25.469308906250006</c:v>
                </c:pt>
                <c:pt idx="2">
                  <c:v>26.106041628906254</c:v>
                </c:pt>
                <c:pt idx="3">
                  <c:v>26.758692669628907</c:v>
                </c:pt>
                <c:pt idx="4">
                  <c:v>27.427659986369626</c:v>
                </c:pt>
                <c:pt idx="5">
                  <c:v>28.113351486028865</c:v>
                </c:pt>
                <c:pt idx="6">
                  <c:v>28.816185273179585</c:v>
                </c:pt>
                <c:pt idx="7">
                  <c:v>29.536589905009073</c:v>
                </c:pt>
                <c:pt idx="8">
                  <c:v>30.275004652634298</c:v>
                </c:pt>
                <c:pt idx="9">
                  <c:v>31.031879768950152</c:v>
                </c:pt>
                <c:pt idx="10">
                  <c:v>31.807676763173902</c:v>
                </c:pt>
                <c:pt idx="11">
                  <c:v>32.602868682253245</c:v>
                </c:pt>
                <c:pt idx="12">
                  <c:v>33.417940399309572</c:v>
                </c:pt>
                <c:pt idx="13">
                  <c:v>34.253388909292305</c:v>
                </c:pt>
                <c:pt idx="14">
                  <c:v>35.109723632024611</c:v>
                </c:pt>
                <c:pt idx="15">
                  <c:v>35.987466722825225</c:v>
                </c:pt>
                <c:pt idx="16">
                  <c:v>36.887153390895854</c:v>
                </c:pt>
                <c:pt idx="17">
                  <c:v>37.80933222566825</c:v>
                </c:pt>
                <c:pt idx="18">
                  <c:v>38.75456553130995</c:v>
                </c:pt>
                <c:pt idx="19">
                  <c:v>39.723429669592697</c:v>
                </c:pt>
                <c:pt idx="20">
                  <c:v>40.716515411332509</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27.332916875000009</c:v>
                </c:pt>
                <c:pt idx="1">
                  <c:v>28.016239796875006</c:v>
                </c:pt>
                <c:pt idx="2">
                  <c:v>28.716645791796878</c:v>
                </c:pt>
                <c:pt idx="3">
                  <c:v>29.434561936591798</c:v>
                </c:pt>
                <c:pt idx="4">
                  <c:v>30.170425985006592</c:v>
                </c:pt>
                <c:pt idx="5">
                  <c:v>30.924686634631755</c:v>
                </c:pt>
                <c:pt idx="6">
                  <c:v>31.697803800497546</c:v>
                </c:pt>
                <c:pt idx="7">
                  <c:v>32.490248895509978</c:v>
                </c:pt>
                <c:pt idx="8">
                  <c:v>33.302505117897724</c:v>
                </c:pt>
                <c:pt idx="9">
                  <c:v>34.135067745845163</c:v>
                </c:pt>
                <c:pt idx="10">
                  <c:v>34.988444439491289</c:v>
                </c:pt>
                <c:pt idx="11">
                  <c:v>35.863155550478567</c:v>
                </c:pt>
                <c:pt idx="12">
                  <c:v>36.759734439240525</c:v>
                </c:pt>
                <c:pt idx="13">
                  <c:v>37.678727800221537</c:v>
                </c:pt>
                <c:pt idx="14">
                  <c:v>38.620695995227074</c:v>
                </c:pt>
                <c:pt idx="15">
                  <c:v>39.586213395107748</c:v>
                </c:pt>
                <c:pt idx="16">
                  <c:v>40.575868729985437</c:v>
                </c:pt>
                <c:pt idx="17">
                  <c:v>41.590265448235073</c:v>
                </c:pt>
                <c:pt idx="18">
                  <c:v>42.630022084440945</c:v>
                </c:pt>
                <c:pt idx="19">
                  <c:v>43.695772636551965</c:v>
                </c:pt>
                <c:pt idx="20">
                  <c:v>44.788166952465758</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30.066208562500012</c:v>
                </c:pt>
                <c:pt idx="1">
                  <c:v>30.817863776562511</c:v>
                </c:pt>
                <c:pt idx="2">
                  <c:v>31.588310370976572</c:v>
                </c:pt>
                <c:pt idx="3">
                  <c:v>32.378018130250986</c:v>
                </c:pt>
                <c:pt idx="4">
                  <c:v>33.187468583507261</c:v>
                </c:pt>
                <c:pt idx="5">
                  <c:v>34.017155298094941</c:v>
                </c:pt>
                <c:pt idx="6">
                  <c:v>34.867584180547311</c:v>
                </c:pt>
                <c:pt idx="7">
                  <c:v>35.739273785060988</c:v>
                </c:pt>
                <c:pt idx="8">
                  <c:v>36.632755629687509</c:v>
                </c:pt>
                <c:pt idx="9">
                  <c:v>37.548574520429696</c:v>
                </c:pt>
                <c:pt idx="10">
                  <c:v>38.487288883440435</c:v>
                </c:pt>
                <c:pt idx="11">
                  <c:v>39.449471105526442</c:v>
                </c:pt>
                <c:pt idx="12">
                  <c:v>40.435707883164596</c:v>
                </c:pt>
                <c:pt idx="13">
                  <c:v>41.446600580243711</c:v>
                </c:pt>
                <c:pt idx="14">
                  <c:v>42.4827655947498</c:v>
                </c:pt>
                <c:pt idx="15">
                  <c:v>43.54483473461854</c:v>
                </c:pt>
                <c:pt idx="16">
                  <c:v>44.633455602984</c:v>
                </c:pt>
                <c:pt idx="17">
                  <c:v>45.749291993058598</c:v>
                </c:pt>
                <c:pt idx="18">
                  <c:v>46.893024292885059</c:v>
                </c:pt>
                <c:pt idx="19">
                  <c:v>48.065349900207181</c:v>
                </c:pt>
                <c:pt idx="20">
                  <c:v>49.266983647712358</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3a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15.910868068359376</c:v>
                </c:pt>
                <c:pt idx="1">
                  <c:v>16.308639770068357</c:v>
                </c:pt>
                <c:pt idx="2">
                  <c:v>16.716355764320063</c:v>
                </c:pt>
                <c:pt idx="3">
                  <c:v>17.134264658428062</c:v>
                </c:pt>
                <c:pt idx="4">
                  <c:v>17.562621274888762</c:v>
                </c:pt>
                <c:pt idx="5">
                  <c:v>18.001686806760979</c:v>
                </c:pt>
                <c:pt idx="6">
                  <c:v>18.451728976930003</c:v>
                </c:pt>
                <c:pt idx="7">
                  <c:v>18.91302220135325</c:v>
                </c:pt>
                <c:pt idx="8">
                  <c:v>19.385847756387079</c:v>
                </c:pt>
                <c:pt idx="9">
                  <c:v>19.870493950296755</c:v>
                </c:pt>
                <c:pt idx="10">
                  <c:v>20.367256299054173</c:v>
                </c:pt>
                <c:pt idx="11">
                  <c:v>20.876437706530524</c:v>
                </c:pt>
                <c:pt idx="12">
                  <c:v>21.398348649193785</c:v>
                </c:pt>
                <c:pt idx="13">
                  <c:v>21.933307365423627</c:v>
                </c:pt>
                <c:pt idx="14">
                  <c:v>22.481640049559214</c:v>
                </c:pt>
                <c:pt idx="15">
                  <c:v>23.043681050798192</c:v>
                </c:pt>
                <c:pt idx="16">
                  <c:v>23.619773077068146</c:v>
                </c:pt>
                <c:pt idx="17">
                  <c:v>24.210267403994848</c:v>
                </c:pt>
                <c:pt idx="18">
                  <c:v>24.815524089094716</c:v>
                </c:pt>
                <c:pt idx="19">
                  <c:v>25.435912191322082</c:v>
                </c:pt>
                <c:pt idx="20">
                  <c:v>26.071809996105131</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18.668750000000003</c:v>
                </c:pt>
                <c:pt idx="1">
                  <c:v>19.135468750000001</c:v>
                </c:pt>
                <c:pt idx="2">
                  <c:v>19.61385546875</c:v>
                </c:pt>
                <c:pt idx="3">
                  <c:v>20.104201855468748</c:v>
                </c:pt>
                <c:pt idx="4">
                  <c:v>20.606806901855464</c:v>
                </c:pt>
                <c:pt idx="5">
                  <c:v>21.121977074401848</c:v>
                </c:pt>
                <c:pt idx="6">
                  <c:v>21.650026501261891</c:v>
                </c:pt>
                <c:pt idx="7">
                  <c:v>22.191277163793437</c:v>
                </c:pt>
                <c:pt idx="8">
                  <c:v>22.74605909288827</c:v>
                </c:pt>
                <c:pt idx="9">
                  <c:v>23.314710570210476</c:v>
                </c:pt>
                <c:pt idx="10">
                  <c:v>23.897578334465734</c:v>
                </c:pt>
                <c:pt idx="11">
                  <c:v>24.495017792827376</c:v>
                </c:pt>
                <c:pt idx="12">
                  <c:v>25.107393237648058</c:v>
                </c:pt>
                <c:pt idx="13">
                  <c:v>25.735078068589257</c:v>
                </c:pt>
                <c:pt idx="14">
                  <c:v>26.378455020303985</c:v>
                </c:pt>
                <c:pt idx="15">
                  <c:v>27.037916395811582</c:v>
                </c:pt>
                <c:pt idx="16">
                  <c:v>27.713864305706871</c:v>
                </c:pt>
                <c:pt idx="17">
                  <c:v>28.406710913349539</c:v>
                </c:pt>
                <c:pt idx="18">
                  <c:v>29.116878686183274</c:v>
                </c:pt>
                <c:pt idx="19">
                  <c:v>29.844800653337852</c:v>
                </c:pt>
                <c:pt idx="20">
                  <c:v>30.590920669671295</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20.535625000000003</c:v>
                </c:pt>
                <c:pt idx="1">
                  <c:v>21.049015625000003</c:v>
                </c:pt>
                <c:pt idx="2">
                  <c:v>21.575241015625</c:v>
                </c:pt>
                <c:pt idx="3">
                  <c:v>22.114622041015622</c:v>
                </c:pt>
                <c:pt idx="4">
                  <c:v>22.667487592041009</c:v>
                </c:pt>
                <c:pt idx="5">
                  <c:v>23.234174781842032</c:v>
                </c:pt>
                <c:pt idx="6">
                  <c:v>23.815029151388082</c:v>
                </c:pt>
                <c:pt idx="7">
                  <c:v>24.410404880172781</c:v>
                </c:pt>
                <c:pt idx="8">
                  <c:v>25.020665002177097</c:v>
                </c:pt>
                <c:pt idx="9">
                  <c:v>25.64618162723152</c:v>
                </c:pt>
                <c:pt idx="10">
                  <c:v>26.287336167912308</c:v>
                </c:pt>
                <c:pt idx="11">
                  <c:v>26.944519572110114</c:v>
                </c:pt>
                <c:pt idx="12">
                  <c:v>27.618132561412864</c:v>
                </c:pt>
                <c:pt idx="13">
                  <c:v>28.308585875448184</c:v>
                </c:pt>
                <c:pt idx="14">
                  <c:v>29.016300522334387</c:v>
                </c:pt>
                <c:pt idx="15">
                  <c:v>29.741708035392744</c:v>
                </c:pt>
                <c:pt idx="16">
                  <c:v>30.48525073627756</c:v>
                </c:pt>
                <c:pt idx="17">
                  <c:v>31.247382004684496</c:v>
                </c:pt>
                <c:pt idx="18">
                  <c:v>32.028566554801607</c:v>
                </c:pt>
                <c:pt idx="19">
                  <c:v>32.829280718671647</c:v>
                </c:pt>
                <c:pt idx="20">
                  <c:v>33.650012736638438</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22.589187500000005</c:v>
                </c:pt>
                <c:pt idx="1">
                  <c:v>23.153917187500003</c:v>
                </c:pt>
                <c:pt idx="2">
                  <c:v>23.732765117187501</c:v>
                </c:pt>
                <c:pt idx="3">
                  <c:v>24.326084245117187</c:v>
                </c:pt>
                <c:pt idx="4">
                  <c:v>24.934236351245115</c:v>
                </c:pt>
                <c:pt idx="5">
                  <c:v>25.55759226002624</c:v>
                </c:pt>
                <c:pt idx="6">
                  <c:v>26.196532066526895</c:v>
                </c:pt>
                <c:pt idx="7">
                  <c:v>26.851445368190067</c:v>
                </c:pt>
                <c:pt idx="8">
                  <c:v>27.522731502394816</c:v>
                </c:pt>
                <c:pt idx="9">
                  <c:v>28.210799789954685</c:v>
                </c:pt>
                <c:pt idx="10">
                  <c:v>28.916069784703549</c:v>
                </c:pt>
                <c:pt idx="11">
                  <c:v>29.638971529321136</c:v>
                </c:pt>
                <c:pt idx="12">
                  <c:v>30.379945817554162</c:v>
                </c:pt>
                <c:pt idx="13">
                  <c:v>31.139444462993012</c:v>
                </c:pt>
                <c:pt idx="14">
                  <c:v>31.917930574567833</c:v>
                </c:pt>
                <c:pt idx="15">
                  <c:v>32.715878838932028</c:v>
                </c:pt>
                <c:pt idx="16">
                  <c:v>33.533775809905329</c:v>
                </c:pt>
                <c:pt idx="17">
                  <c:v>34.37212020515296</c:v>
                </c:pt>
                <c:pt idx="18">
                  <c:v>35.231423210281783</c:v>
                </c:pt>
                <c:pt idx="19">
                  <c:v>36.112208790538823</c:v>
                </c:pt>
                <c:pt idx="20">
                  <c:v>37.015014010302288</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24.848106250000008</c:v>
                </c:pt>
                <c:pt idx="1">
                  <c:v>25.469308906250006</c:v>
                </c:pt>
                <c:pt idx="2">
                  <c:v>26.106041628906254</c:v>
                </c:pt>
                <c:pt idx="3">
                  <c:v>26.758692669628907</c:v>
                </c:pt>
                <c:pt idx="4">
                  <c:v>27.427659986369626</c:v>
                </c:pt>
                <c:pt idx="5">
                  <c:v>28.113351486028865</c:v>
                </c:pt>
                <c:pt idx="6">
                  <c:v>28.816185273179585</c:v>
                </c:pt>
                <c:pt idx="7">
                  <c:v>29.536589905009073</c:v>
                </c:pt>
                <c:pt idx="8">
                  <c:v>30.275004652634298</c:v>
                </c:pt>
                <c:pt idx="9">
                  <c:v>31.031879768950152</c:v>
                </c:pt>
                <c:pt idx="10">
                  <c:v>31.807676763173902</c:v>
                </c:pt>
                <c:pt idx="11">
                  <c:v>32.602868682253245</c:v>
                </c:pt>
                <c:pt idx="12">
                  <c:v>33.417940399309572</c:v>
                </c:pt>
                <c:pt idx="13">
                  <c:v>34.253388909292305</c:v>
                </c:pt>
                <c:pt idx="14">
                  <c:v>35.109723632024611</c:v>
                </c:pt>
                <c:pt idx="15">
                  <c:v>35.987466722825225</c:v>
                </c:pt>
                <c:pt idx="16">
                  <c:v>36.887153390895854</c:v>
                </c:pt>
                <c:pt idx="17">
                  <c:v>37.80933222566825</c:v>
                </c:pt>
                <c:pt idx="18">
                  <c:v>38.75456553130995</c:v>
                </c:pt>
                <c:pt idx="19">
                  <c:v>39.723429669592697</c:v>
                </c:pt>
                <c:pt idx="20">
                  <c:v>40.716515411332509</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27.332916875000009</c:v>
                </c:pt>
                <c:pt idx="1">
                  <c:v>28.016239796875006</c:v>
                </c:pt>
                <c:pt idx="2">
                  <c:v>28.716645791796878</c:v>
                </c:pt>
                <c:pt idx="3">
                  <c:v>29.434561936591798</c:v>
                </c:pt>
                <c:pt idx="4">
                  <c:v>30.170425985006592</c:v>
                </c:pt>
                <c:pt idx="5">
                  <c:v>30.924686634631755</c:v>
                </c:pt>
                <c:pt idx="6">
                  <c:v>31.697803800497546</c:v>
                </c:pt>
                <c:pt idx="7">
                  <c:v>32.490248895509978</c:v>
                </c:pt>
                <c:pt idx="8">
                  <c:v>33.302505117897724</c:v>
                </c:pt>
                <c:pt idx="9">
                  <c:v>34.135067745845163</c:v>
                </c:pt>
                <c:pt idx="10">
                  <c:v>34.988444439491289</c:v>
                </c:pt>
                <c:pt idx="11">
                  <c:v>35.863155550478567</c:v>
                </c:pt>
                <c:pt idx="12">
                  <c:v>36.759734439240525</c:v>
                </c:pt>
                <c:pt idx="13">
                  <c:v>37.678727800221537</c:v>
                </c:pt>
                <c:pt idx="14">
                  <c:v>38.620695995227074</c:v>
                </c:pt>
                <c:pt idx="15">
                  <c:v>39.586213395107748</c:v>
                </c:pt>
                <c:pt idx="16">
                  <c:v>40.575868729985437</c:v>
                </c:pt>
                <c:pt idx="17">
                  <c:v>41.590265448235073</c:v>
                </c:pt>
                <c:pt idx="18">
                  <c:v>42.630022084440945</c:v>
                </c:pt>
                <c:pt idx="19">
                  <c:v>43.695772636551965</c:v>
                </c:pt>
                <c:pt idx="20">
                  <c:v>44.788166952465758</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1.8587360594795538E-3</c:v>
                </c:pt>
                <c:pt idx="1">
                  <c:v>5.204460966542751E-2</c:v>
                </c:pt>
                <c:pt idx="2">
                  <c:v>0.1654275092936803</c:v>
                </c:pt>
                <c:pt idx="3">
                  <c:v>0.26208178438661711</c:v>
                </c:pt>
                <c:pt idx="4">
                  <c:v>0.29553903345724908</c:v>
                </c:pt>
                <c:pt idx="5">
                  <c:v>0.18029739776951673</c:v>
                </c:pt>
                <c:pt idx="6">
                  <c:v>4.2750929368029739E-2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0.79739776951672858</c:v>
                </c:pt>
                <c:pt idx="1">
                  <c:v>9.4795539033457249E-2</c:v>
                </c:pt>
                <c:pt idx="2">
                  <c:v>4.8327137546468404E-2</c:v>
                </c:pt>
                <c:pt idx="3">
                  <c:v>2.2304832713754646E-2</c:v>
                </c:pt>
                <c:pt idx="4">
                  <c:v>1.1152416356877323E-2</c:v>
                </c:pt>
                <c:pt idx="5">
                  <c:v>1.8587360594795538E-3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3a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20.385799712585445</c:v>
                </c:pt>
                <c:pt idx="1">
                  <c:v>20.895444705400081</c:v>
                </c:pt>
                <c:pt idx="2">
                  <c:v>21.417830823035082</c:v>
                </c:pt>
                <c:pt idx="3">
                  <c:v>21.953276593610958</c:v>
                </c:pt>
                <c:pt idx="4">
                  <c:v>22.502108508451229</c:v>
                </c:pt>
                <c:pt idx="5">
                  <c:v>23.06466122116251</c:v>
                </c:pt>
                <c:pt idx="6">
                  <c:v>23.641277751691572</c:v>
                </c:pt>
                <c:pt idx="7">
                  <c:v>24.23230969548386</c:v>
                </c:pt>
                <c:pt idx="8">
                  <c:v>24.838117437870952</c:v>
                </c:pt>
                <c:pt idx="9">
                  <c:v>25.459070373817724</c:v>
                </c:pt>
                <c:pt idx="10">
                  <c:v>26.095547133163166</c:v>
                </c:pt>
                <c:pt idx="11">
                  <c:v>26.747935811492244</c:v>
                </c:pt>
                <c:pt idx="12">
                  <c:v>27.416634206779548</c:v>
                </c:pt>
                <c:pt idx="13">
                  <c:v>28.102050061949036</c:v>
                </c:pt>
                <c:pt idx="14">
                  <c:v>28.804601313497759</c:v>
                </c:pt>
                <c:pt idx="15">
                  <c:v>29.5247163463352</c:v>
                </c:pt>
                <c:pt idx="16">
                  <c:v>30.262834254993578</c:v>
                </c:pt>
                <c:pt idx="17">
                  <c:v>31.019405111368414</c:v>
                </c:pt>
                <c:pt idx="18">
                  <c:v>31.794890239152622</c:v>
                </c:pt>
                <c:pt idx="19">
                  <c:v>32.589762495131431</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25.513958333333335</c:v>
                </c:pt>
                <c:pt idx="1">
                  <c:v>26.151807291666668</c:v>
                </c:pt>
                <c:pt idx="2">
                  <c:v>26.805602473958331</c:v>
                </c:pt>
                <c:pt idx="3">
                  <c:v>27.475742535807285</c:v>
                </c:pt>
                <c:pt idx="4">
                  <c:v>28.162636099202466</c:v>
                </c:pt>
                <c:pt idx="5">
                  <c:v>28.866702001682526</c:v>
                </c:pt>
                <c:pt idx="6">
                  <c:v>29.588369551724586</c:v>
                </c:pt>
                <c:pt idx="7">
                  <c:v>30.328078790517697</c:v>
                </c:pt>
                <c:pt idx="8">
                  <c:v>31.086280760280637</c:v>
                </c:pt>
                <c:pt idx="9">
                  <c:v>31.863437779287651</c:v>
                </c:pt>
                <c:pt idx="10">
                  <c:v>32.660023723769839</c:v>
                </c:pt>
                <c:pt idx="11">
                  <c:v>33.476524316864079</c:v>
                </c:pt>
                <c:pt idx="12">
                  <c:v>34.313437424785675</c:v>
                </c:pt>
                <c:pt idx="13">
                  <c:v>35.171273360405316</c:v>
                </c:pt>
                <c:pt idx="14">
                  <c:v>36.050555194415445</c:v>
                </c:pt>
                <c:pt idx="15">
                  <c:v>36.951819074275825</c:v>
                </c:pt>
                <c:pt idx="16">
                  <c:v>37.87561455113272</c:v>
                </c:pt>
                <c:pt idx="17">
                  <c:v>38.822504914911036</c:v>
                </c:pt>
                <c:pt idx="18">
                  <c:v>39.793067537783806</c:v>
                </c:pt>
                <c:pt idx="19">
                  <c:v>40.787894226228396</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28.065354166666669</c:v>
                </c:pt>
                <c:pt idx="1">
                  <c:v>28.766988020833335</c:v>
                </c:pt>
                <c:pt idx="2">
                  <c:v>29.486162721354166</c:v>
                </c:pt>
                <c:pt idx="3">
                  <c:v>30.223316789388019</c:v>
                </c:pt>
                <c:pt idx="4">
                  <c:v>30.978899709122718</c:v>
                </c:pt>
                <c:pt idx="5">
                  <c:v>31.753372201850784</c:v>
                </c:pt>
                <c:pt idx="6">
                  <c:v>32.547206506897048</c:v>
                </c:pt>
                <c:pt idx="7">
                  <c:v>33.360886669569474</c:v>
                </c:pt>
                <c:pt idx="8">
                  <c:v>34.194908836308706</c:v>
                </c:pt>
                <c:pt idx="9">
                  <c:v>35.04978155721642</c:v>
                </c:pt>
                <c:pt idx="10">
                  <c:v>35.926026096146828</c:v>
                </c:pt>
                <c:pt idx="11">
                  <c:v>36.824176748550492</c:v>
                </c:pt>
                <c:pt idx="12">
                  <c:v>37.74478116726425</c:v>
                </c:pt>
                <c:pt idx="13">
                  <c:v>38.688400696445854</c:v>
                </c:pt>
                <c:pt idx="14">
                  <c:v>39.655610713856994</c:v>
                </c:pt>
                <c:pt idx="15">
                  <c:v>40.647000981703414</c:v>
                </c:pt>
                <c:pt idx="16">
                  <c:v>41.663176006245997</c:v>
                </c:pt>
                <c:pt idx="17">
                  <c:v>42.704755406402143</c:v>
                </c:pt>
                <c:pt idx="18">
                  <c:v>43.772374291562194</c:v>
                </c:pt>
                <c:pt idx="19">
                  <c:v>44.866683648851243</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30.871889583333338</c:v>
                </c:pt>
                <c:pt idx="1">
                  <c:v>31.643686822916671</c:v>
                </c:pt>
                <c:pt idx="2">
                  <c:v>32.434778993489587</c:v>
                </c:pt>
                <c:pt idx="3">
                  <c:v>33.245648468326827</c:v>
                </c:pt>
                <c:pt idx="4">
                  <c:v>34.076789680034992</c:v>
                </c:pt>
                <c:pt idx="5">
                  <c:v>34.928709422035865</c:v>
                </c:pt>
                <c:pt idx="6">
                  <c:v>35.801927157586761</c:v>
                </c:pt>
                <c:pt idx="7">
                  <c:v>36.696975336526428</c:v>
                </c:pt>
                <c:pt idx="8">
                  <c:v>37.614399719939584</c:v>
                </c:pt>
                <c:pt idx="9">
                  <c:v>38.554759712938072</c:v>
                </c:pt>
                <c:pt idx="10">
                  <c:v>39.518628705761522</c:v>
                </c:pt>
                <c:pt idx="11">
                  <c:v>40.506594423405559</c:v>
                </c:pt>
                <c:pt idx="12">
                  <c:v>41.519259283990692</c:v>
                </c:pt>
                <c:pt idx="13">
                  <c:v>42.557240766090459</c:v>
                </c:pt>
                <c:pt idx="14">
                  <c:v>43.621171785242716</c:v>
                </c:pt>
                <c:pt idx="15">
                  <c:v>44.711701079873777</c:v>
                </c:pt>
                <c:pt idx="16">
                  <c:v>45.829493606870614</c:v>
                </c:pt>
                <c:pt idx="17">
                  <c:v>46.975230947042377</c:v>
                </c:pt>
                <c:pt idx="18">
                  <c:v>48.149611720718433</c:v>
                </c:pt>
                <c:pt idx="19">
                  <c:v>49.353352013736391</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33.959078541666671</c:v>
                </c:pt>
                <c:pt idx="1">
                  <c:v>34.808055505208337</c:v>
                </c:pt>
                <c:pt idx="2">
                  <c:v>35.67825689283854</c:v>
                </c:pt>
                <c:pt idx="3">
                  <c:v>36.570213315159499</c:v>
                </c:pt>
                <c:pt idx="4">
                  <c:v>37.484468648038487</c:v>
                </c:pt>
                <c:pt idx="5">
                  <c:v>38.421580364239446</c:v>
                </c:pt>
                <c:pt idx="6">
                  <c:v>39.382119873345431</c:v>
                </c:pt>
                <c:pt idx="7">
                  <c:v>40.366672870179066</c:v>
                </c:pt>
                <c:pt idx="8">
                  <c:v>41.375839691933542</c:v>
                </c:pt>
                <c:pt idx="9">
                  <c:v>42.410235684231878</c:v>
                </c:pt>
                <c:pt idx="10">
                  <c:v>43.470491576337672</c:v>
                </c:pt>
                <c:pt idx="11">
                  <c:v>44.557253865746112</c:v>
                </c:pt>
                <c:pt idx="12">
                  <c:v>45.671185212389759</c:v>
                </c:pt>
                <c:pt idx="13">
                  <c:v>46.8129648426995</c:v>
                </c:pt>
                <c:pt idx="14">
                  <c:v>47.983288963766981</c:v>
                </c:pt>
                <c:pt idx="15">
                  <c:v>49.182871187861153</c:v>
                </c:pt>
                <c:pt idx="16">
                  <c:v>50.412442967557681</c:v>
                </c:pt>
                <c:pt idx="17">
                  <c:v>51.672754041746622</c:v>
                </c:pt>
                <c:pt idx="18">
                  <c:v>52.964572892790279</c:v>
                </c:pt>
                <c:pt idx="19">
                  <c:v>54.288687215110031</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37.354986395833343</c:v>
                </c:pt>
                <c:pt idx="1">
                  <c:v>38.288861055729171</c:v>
                </c:pt>
                <c:pt idx="2">
                  <c:v>39.246082582122398</c:v>
                </c:pt>
                <c:pt idx="3">
                  <c:v>40.227234646675456</c:v>
                </c:pt>
                <c:pt idx="4">
                  <c:v>41.232915512842339</c:v>
                </c:pt>
                <c:pt idx="5">
                  <c:v>42.263738400663392</c:v>
                </c:pt>
                <c:pt idx="6">
                  <c:v>43.320331860679971</c:v>
                </c:pt>
                <c:pt idx="7">
                  <c:v>44.403340157196965</c:v>
                </c:pt>
                <c:pt idx="8">
                  <c:v>45.513423661126886</c:v>
                </c:pt>
                <c:pt idx="9">
                  <c:v>46.651259252655052</c:v>
                </c:pt>
                <c:pt idx="10">
                  <c:v>47.817540733971427</c:v>
                </c:pt>
                <c:pt idx="11">
                  <c:v>49.012979252320712</c:v>
                </c:pt>
                <c:pt idx="12">
                  <c:v>50.238303733628726</c:v>
                </c:pt>
                <c:pt idx="13">
                  <c:v>51.494261326969436</c:v>
                </c:pt>
                <c:pt idx="14">
                  <c:v>52.781617860143669</c:v>
                </c:pt>
                <c:pt idx="15">
                  <c:v>54.101158306647257</c:v>
                </c:pt>
                <c:pt idx="16">
                  <c:v>55.45368726431343</c:v>
                </c:pt>
                <c:pt idx="17">
                  <c:v>56.84002944592126</c:v>
                </c:pt>
                <c:pt idx="18">
                  <c:v>58.261030182069284</c:v>
                </c:pt>
                <c:pt idx="19">
                  <c:v>59.717555936621011</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23.18</c:v>
                </c:pt>
                <c:pt idx="1">
                  <c:v>14.41</c:v>
                </c:pt>
                <c:pt idx="2">
                  <c:v>27.92</c:v>
                </c:pt>
                <c:pt idx="3">
                  <c:v>18.09</c:v>
                </c:pt>
                <c:pt idx="4">
                  <c:v>15.76</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3"/>
            <c:invertIfNegative val="0"/>
            <c:bubble3D val="0"/>
            <c:spPr>
              <a:solidFill>
                <a:srgbClr val="003E51"/>
              </a:solidFill>
              <a:ln>
                <a:noFill/>
              </a:ln>
              <a:effectLst/>
            </c:spPr>
            <c:extLst>
              <c:ext xmlns:c16="http://schemas.microsoft.com/office/drawing/2014/chart" uri="{C3380CC4-5D6E-409C-BE32-E72D297353CC}">
                <c16:uniqueId val="{00000003-1376-4E23-985E-A49F8123A941}"/>
              </c:ext>
            </c:extLst>
          </c:dPt>
          <c:dPt>
            <c:idx val="4"/>
            <c:invertIfNegative val="0"/>
            <c:bubble3D val="0"/>
            <c:spPr>
              <a:solidFill>
                <a:srgbClr val="D45D00"/>
              </a:solidFill>
              <a:ln>
                <a:noFill/>
              </a:ln>
              <a:effectLst/>
            </c:spPr>
            <c:extLst>
              <c:ext xmlns:c16="http://schemas.microsoft.com/office/drawing/2014/chart" uri="{C3380CC4-5D6E-409C-BE32-E72D297353CC}">
                <c16:uniqueId val="{00000003-0B59-44B7-9EB2-553D7B215AD7}"/>
              </c:ext>
            </c:extLst>
          </c:dPt>
          <c:dPt>
            <c:idx val="5"/>
            <c:invertIfNegative val="0"/>
            <c:bubble3D val="0"/>
            <c:spPr>
              <a:solidFill>
                <a:srgbClr val="003E51"/>
              </a:solidFill>
              <a:ln>
                <a:noFill/>
              </a:ln>
              <a:effectLst/>
            </c:spPr>
            <c:extLst>
              <c:ext xmlns:c16="http://schemas.microsoft.com/office/drawing/2014/chart" uri="{C3380CC4-5D6E-409C-BE32-E72D297353CC}">
                <c16:uniqueId val="{00000004-AF4B-4067-898C-1E58CD333830}"/>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7764-434C-B3AF-0E82277610C1}"/>
                </c:ext>
              </c:extLst>
            </c:dLbl>
            <c:dLbl>
              <c:idx val="1"/>
              <c:layout>
                <c:manualLayout>
                  <c:x val="-0.14904306342814641"/>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64-434C-B3AF-0E82277610C1}"/>
                </c:ext>
              </c:extLst>
            </c:dLbl>
            <c:dLbl>
              <c:idx val="5"/>
              <c:layout>
                <c:manualLayout>
                  <c:x val="-5.6827310266998388E-2"/>
                  <c:y val="-1.2810484019425536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9EA299D7-4EEE-482D-9F07-B497A3ABC393}" type="VALUE">
                      <a:rPr lang="en-US" b="0" baseline="0">
                        <a:solidFill>
                          <a:schemeClr val="bg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AF4B-4067-898C-1E58CD3338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Customer Service Representative</c:v>
                </c:pt>
                <c:pt idx="2">
                  <c:v>Kindergarten Teacher</c:v>
                </c:pt>
                <c:pt idx="3">
                  <c:v>Administrative Assistant</c:v>
                </c:pt>
                <c:pt idx="4">
                  <c:v>Assistant Teacher</c:v>
                </c:pt>
                <c:pt idx="5">
                  <c:v>Self-Enrichment Teacher</c:v>
                </c:pt>
              </c:strCache>
            </c:strRef>
          </c:cat>
          <c:val>
            <c:numRef>
              <c:f>'3C'!$Z$29:$Z$34</c:f>
              <c:numCache>
                <c:formatCode>_("$"* #,##0.00_);_("$"* \(#,##0.00\);_("$"* "-"??_);_(@_)</c:formatCode>
                <c:ptCount val="6"/>
                <c:pt idx="0" formatCode="&quot;$&quot;#,##0.00">
                  <c:v>-0.16</c:v>
                </c:pt>
                <c:pt idx="1">
                  <c:v>2.66</c:v>
                </c:pt>
                <c:pt idx="2">
                  <c:v>4.63</c:v>
                </c:pt>
                <c:pt idx="3">
                  <c:v>4.95</c:v>
                </c:pt>
                <c:pt idx="4">
                  <c:v>5.78</c:v>
                </c:pt>
                <c:pt idx="5">
                  <c:v>7.14</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3a</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2.6143790849673201E-3</c:v>
                </c:pt>
                <c:pt idx="2">
                  <c:v>-1.5686274509803921E-2</c:v>
                </c:pt>
                <c:pt idx="3">
                  <c:v>-3.3986928104575161E-2</c:v>
                </c:pt>
                <c:pt idx="4">
                  <c:v>-2.7450980392156862E-2</c:v>
                </c:pt>
                <c:pt idx="5">
                  <c:v>-5.2287581699346402E-3</c:v>
                </c:pt>
                <c:pt idx="6">
                  <c:v>-1.3071895424836602E-2</c:v>
                </c:pt>
                <c:pt idx="7">
                  <c:v>-2.7450980392156862E-2</c:v>
                </c:pt>
                <c:pt idx="8">
                  <c:v>-6.1437908496732023E-2</c:v>
                </c:pt>
                <c:pt idx="9">
                  <c:v>-7.8431372549019607E-2</c:v>
                </c:pt>
                <c:pt idx="10">
                  <c:v>-0.15163398692810456</c:v>
                </c:pt>
                <c:pt idx="11">
                  <c:v>-0.19215686274509805</c:v>
                </c:pt>
                <c:pt idx="12">
                  <c:v>-0.24052287581699347</c:v>
                </c:pt>
                <c:pt idx="13">
                  <c:v>-0.28627450980392155</c:v>
                </c:pt>
                <c:pt idx="14">
                  <c:v>-0.27058823529411763</c:v>
                </c:pt>
                <c:pt idx="15">
                  <c:v>-0.27320261437908494</c:v>
                </c:pt>
                <c:pt idx="16">
                  <c:v>-0.25620915032679736</c:v>
                </c:pt>
                <c:pt idx="17">
                  <c:v>-0.2196078431372549</c:v>
                </c:pt>
                <c:pt idx="18">
                  <c:v>-0.21568627450980393</c:v>
                </c:pt>
                <c:pt idx="19">
                  <c:v>-0.30588235294117649</c:v>
                </c:pt>
                <c:pt idx="20">
                  <c:v>-0.30849673202614381</c:v>
                </c:pt>
                <c:pt idx="21">
                  <c:v>-0.29673202614379085</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3a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0.38651102464332032</c:v>
                </c:pt>
                <c:pt idx="2">
                  <c:v>0.40466926070038911</c:v>
                </c:pt>
                <c:pt idx="3">
                  <c:v>0.35538261997405957</c:v>
                </c:pt>
                <c:pt idx="4">
                  <c:v>0.45265888456549924</c:v>
                </c:pt>
                <c:pt idx="5">
                  <c:v>0.55512321660181585</c:v>
                </c:pt>
                <c:pt idx="6">
                  <c:v>0.59922178988326846</c:v>
                </c:pt>
                <c:pt idx="7">
                  <c:v>0.63424124513618674</c:v>
                </c:pt>
                <c:pt idx="8">
                  <c:v>0.63424124513618674</c:v>
                </c:pt>
                <c:pt idx="9">
                  <c:v>0.67055771725032431</c:v>
                </c:pt>
                <c:pt idx="10">
                  <c:v>0.62386511024643321</c:v>
                </c:pt>
                <c:pt idx="11">
                  <c:v>0.64721141374837865</c:v>
                </c:pt>
                <c:pt idx="12">
                  <c:v>0.58495460440985747</c:v>
                </c:pt>
                <c:pt idx="13">
                  <c:v>0.47859922178988334</c:v>
                </c:pt>
                <c:pt idx="14">
                  <c:v>0.57198443579766522</c:v>
                </c:pt>
                <c:pt idx="15">
                  <c:v>0.69520103761348906</c:v>
                </c:pt>
                <c:pt idx="16">
                  <c:v>0.63424124513618674</c:v>
                </c:pt>
                <c:pt idx="17">
                  <c:v>0.7496757457846952</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0.16608293258325016</c:v>
                </c:pt>
                <c:pt idx="1">
                  <c:v>9.7314218310498135E-2</c:v>
                </c:pt>
                <c:pt idx="2">
                  <c:v>9.2614100353869883E-2</c:v>
                </c:pt>
                <c:pt idx="3">
                  <c:v>8.8585427819617091E-2</c:v>
                </c:pt>
                <c:pt idx="4">
                  <c:v>7.6490336630069863E-2</c:v>
                </c:pt>
                <c:pt idx="5">
                  <c:v>7.3523273750113416E-2</c:v>
                </c:pt>
                <c:pt idx="6">
                  <c:v>6.0702295617457581E-2</c:v>
                </c:pt>
                <c:pt idx="7">
                  <c:v>5.4786317031122404E-2</c:v>
                </c:pt>
                <c:pt idx="8">
                  <c:v>5.3153071409128026E-2</c:v>
                </c:pt>
                <c:pt idx="9">
                  <c:v>5.2999999999999999E-2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0.17019999999999999</c:v>
                </c:pt>
                <c:pt idx="1">
                  <c:v>0.15160000000000001</c:v>
                </c:pt>
                <c:pt idx="2">
                  <c:v>0.1263</c:v>
                </c:pt>
                <c:pt idx="3">
                  <c:v>0.10630000000000001</c:v>
                </c:pt>
                <c:pt idx="4">
                  <c:v>0.10229000000000001</c:v>
                </c:pt>
                <c:pt idx="5">
                  <c:v>9.5100000000000004E-2</c:v>
                </c:pt>
                <c:pt idx="6">
                  <c:v>8.5220000000000004E-2</c:v>
                </c:pt>
                <c:pt idx="7">
                  <c:v>5.6599999999999998E-2</c:v>
                </c:pt>
                <c:pt idx="8">
                  <c:v>5.3080000000000002E-2</c:v>
                </c:pt>
                <c:pt idx="9">
                  <c:v>5.2979999999999999E-2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5</c:v>
                </c:pt>
                <c:pt idx="1">
                  <c:v>0</c:v>
                </c:pt>
                <c:pt idx="2">
                  <c:v>8</c:v>
                </c:pt>
                <c:pt idx="3">
                  <c:v>0</c:v>
                </c:pt>
                <c:pt idx="4">
                  <c:v>2</c:v>
                </c:pt>
                <c:pt idx="5">
                  <c:v>0</c:v>
                </c:pt>
                <c:pt idx="6">
                  <c:v>5</c:v>
                </c:pt>
                <c:pt idx="7">
                  <c:v>2</c:v>
                </c:pt>
                <c:pt idx="8">
                  <c:v>1</c:v>
                </c:pt>
                <c:pt idx="9">
                  <c:v>5</c:v>
                </c:pt>
                <c:pt idx="10">
                  <c:v>6</c:v>
                </c:pt>
                <c:pt idx="11">
                  <c:v>3</c:v>
                </c:pt>
                <c:pt idx="12">
                  <c:v>4</c:v>
                </c:pt>
                <c:pt idx="13">
                  <c:v>5</c:v>
                </c:pt>
                <c:pt idx="14">
                  <c:v>3</c:v>
                </c:pt>
                <c:pt idx="15">
                  <c:v>0</c:v>
                </c:pt>
                <c:pt idx="16">
                  <c:v>0</c:v>
                </c:pt>
                <c:pt idx="17">
                  <c:v>1</c:v>
                </c:pt>
                <c:pt idx="18">
                  <c:v>2</c:v>
                </c:pt>
                <c:pt idx="19">
                  <c:v>0</c:v>
                </c:pt>
                <c:pt idx="20">
                  <c:v>0</c:v>
                </c:pt>
                <c:pt idx="21">
                  <c:v>4</c:v>
                </c:pt>
                <c:pt idx="22">
                  <c:v>0</c:v>
                </c:pt>
                <c:pt idx="23">
                  <c:v>3</c:v>
                </c:pt>
                <c:pt idx="24">
                  <c:v>7</c:v>
                </c:pt>
                <c:pt idx="25">
                  <c:v>3</c:v>
                </c:pt>
                <c:pt idx="26">
                  <c:v>1</c:v>
                </c:pt>
                <c:pt idx="27">
                  <c:v>2</c:v>
                </c:pt>
                <c:pt idx="28">
                  <c:v>4</c:v>
                </c:pt>
                <c:pt idx="29">
                  <c:v>3</c:v>
                </c:pt>
                <c:pt idx="30">
                  <c:v>2</c:v>
                </c:pt>
                <c:pt idx="31">
                  <c:v>1</c:v>
                </c:pt>
                <c:pt idx="32">
                  <c:v>1</c:v>
                </c:pt>
                <c:pt idx="33">
                  <c:v>1</c:v>
                </c:pt>
                <c:pt idx="34">
                  <c:v>5</c:v>
                </c:pt>
                <c:pt idx="35">
                  <c:v>1</c:v>
                </c:pt>
                <c:pt idx="36">
                  <c:v>1</c:v>
                </c:pt>
                <c:pt idx="37">
                  <c:v>7</c:v>
                </c:pt>
                <c:pt idx="38">
                  <c:v>5</c:v>
                </c:pt>
                <c:pt idx="39">
                  <c:v>1</c:v>
                </c:pt>
                <c:pt idx="40">
                  <c:v>2</c:v>
                </c:pt>
                <c:pt idx="41">
                  <c:v>3</c:v>
                </c:pt>
                <c:pt idx="42">
                  <c:v>4</c:v>
                </c:pt>
                <c:pt idx="43">
                  <c:v>1</c:v>
                </c:pt>
                <c:pt idx="44">
                  <c:v>2</c:v>
                </c:pt>
                <c:pt idx="45">
                  <c:v>1</c:v>
                </c:pt>
                <c:pt idx="46">
                  <c:v>2</c:v>
                </c:pt>
                <c:pt idx="47">
                  <c:v>1</c:v>
                </c:pt>
                <c:pt idx="48">
                  <c:v>1</c:v>
                </c:pt>
                <c:pt idx="49">
                  <c:v>0</c:v>
                </c:pt>
                <c:pt idx="50">
                  <c:v>0</c:v>
                </c:pt>
                <c:pt idx="51">
                  <c:v>2</c:v>
                </c:pt>
                <c:pt idx="52">
                  <c:v>3</c:v>
                </c:pt>
                <c:pt idx="53">
                  <c:v>0</c:v>
                </c:pt>
                <c:pt idx="54">
                  <c:v>2</c:v>
                </c:pt>
                <c:pt idx="55">
                  <c:v>1</c:v>
                </c:pt>
                <c:pt idx="56">
                  <c:v>0</c:v>
                </c:pt>
                <c:pt idx="57">
                  <c:v>2</c:v>
                </c:pt>
                <c:pt idx="58">
                  <c:v>0</c:v>
                </c:pt>
                <c:pt idx="59">
                  <c:v>0</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Northeast Michigan Community Service Agency</c:v>
                </c:pt>
                <c:pt idx="1">
                  <c:v>Michigan State University</c:v>
                </c:pt>
                <c:pt idx="2">
                  <c:v>Hillman Community Schools</c:v>
                </c:pt>
                <c:pt idx="3">
                  <c:v>Dean And Company</c:v>
                </c:pt>
                <c:pt idx="4">
                  <c:v>Acorn Health Of Michigan</c:v>
                </c:pt>
                <c:pt idx="5">
                  <c:v>Ascension</c:v>
                </c:pt>
                <c:pt idx="6">
                  <c:v>Kirtland Community College</c:v>
                </c:pt>
                <c:pt idx="7">
                  <c:v>Cheboygan County</c:v>
                </c:pt>
                <c:pt idx="8">
                  <c:v>Northwest Michigan Community Action Agency</c:v>
                </c:pt>
                <c:pt idx="9">
                  <c:v>Hale Area Schools</c:v>
                </c:pt>
              </c:strCache>
            </c:strRef>
          </c:cat>
          <c:val>
            <c:numRef>
              <c:f>'3F'!$G$5:$G$14</c:f>
              <c:numCache>
                <c:formatCode>#,##0</c:formatCode>
                <c:ptCount val="10"/>
                <c:pt idx="0">
                  <c:v>5</c:v>
                </c:pt>
                <c:pt idx="1">
                  <c:v>3</c:v>
                </c:pt>
                <c:pt idx="2">
                  <c:v>3</c:v>
                </c:pt>
                <c:pt idx="3">
                  <c:v>2</c:v>
                </c:pt>
                <c:pt idx="4">
                  <c:v>2</c:v>
                </c:pt>
                <c:pt idx="5">
                  <c:v>1</c:v>
                </c:pt>
                <c:pt idx="6">
                  <c:v>1</c:v>
                </c:pt>
                <c:pt idx="7">
                  <c:v>1</c:v>
                </c:pt>
                <c:pt idx="8">
                  <c:v>1</c:v>
                </c:pt>
                <c:pt idx="9">
                  <c:v>1</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3a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14.001563900156253</c:v>
                </c:pt>
                <c:pt idx="1">
                  <c:v>14.351602997660157</c:v>
                </c:pt>
                <c:pt idx="2">
                  <c:v>14.71039307260166</c:v>
                </c:pt>
                <c:pt idx="3">
                  <c:v>15.0781528994167</c:v>
                </c:pt>
                <c:pt idx="4">
                  <c:v>15.455106721902117</c:v>
                </c:pt>
                <c:pt idx="5">
                  <c:v>15.841484389949668</c:v>
                </c:pt>
                <c:pt idx="6">
                  <c:v>16.23752149969841</c:v>
                </c:pt>
                <c:pt idx="7">
                  <c:v>16.643459537190868</c:v>
                </c:pt>
                <c:pt idx="8">
                  <c:v>17.059546025620637</c:v>
                </c:pt>
                <c:pt idx="9">
                  <c:v>17.486034676261152</c:v>
                </c:pt>
                <c:pt idx="10">
                  <c:v>17.92318554316768</c:v>
                </c:pt>
                <c:pt idx="11">
                  <c:v>18.371265181746871</c:v>
                </c:pt>
                <c:pt idx="12">
                  <c:v>18.830546811290542</c:v>
                </c:pt>
                <c:pt idx="13">
                  <c:v>19.301310481572806</c:v>
                </c:pt>
                <c:pt idx="14">
                  <c:v>19.783843243612125</c:v>
                </c:pt>
                <c:pt idx="15">
                  <c:v>20.278439324702425</c:v>
                </c:pt>
                <c:pt idx="16">
                  <c:v>20.785400307819984</c:v>
                </c:pt>
                <c:pt idx="17">
                  <c:v>21.305035315515482</c:v>
                </c:pt>
                <c:pt idx="18">
                  <c:v>21.837661198403367</c:v>
                </c:pt>
                <c:pt idx="19">
                  <c:v>22.383602728363449</c:v>
                </c:pt>
                <c:pt idx="20">
                  <c:v>22.943192796572532</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15.401718750000002</c:v>
                </c:pt>
                <c:pt idx="1">
                  <c:v>15.78676171875</c:v>
                </c:pt>
                <c:pt idx="2">
                  <c:v>16.181430761718747</c:v>
                </c:pt>
                <c:pt idx="3">
                  <c:v>16.585966530761716</c:v>
                </c:pt>
                <c:pt idx="4">
                  <c:v>17.000615694030756</c:v>
                </c:pt>
                <c:pt idx="5">
                  <c:v>17.425631086381525</c:v>
                </c:pt>
                <c:pt idx="6">
                  <c:v>17.861271863541063</c:v>
                </c:pt>
                <c:pt idx="7">
                  <c:v>18.307803660129586</c:v>
                </c:pt>
                <c:pt idx="8">
                  <c:v>18.765498751632823</c:v>
                </c:pt>
                <c:pt idx="9">
                  <c:v>19.234636220423642</c:v>
                </c:pt>
                <c:pt idx="10">
                  <c:v>19.715502125934233</c:v>
                </c:pt>
                <c:pt idx="11">
                  <c:v>20.208389679082586</c:v>
                </c:pt>
                <c:pt idx="12">
                  <c:v>20.713599421059648</c:v>
                </c:pt>
                <c:pt idx="13">
                  <c:v>21.231439406586137</c:v>
                </c:pt>
                <c:pt idx="14">
                  <c:v>21.762225391750789</c:v>
                </c:pt>
                <c:pt idx="15">
                  <c:v>22.306281026544557</c:v>
                </c:pt>
                <c:pt idx="16">
                  <c:v>22.863938052208169</c:v>
                </c:pt>
                <c:pt idx="17">
                  <c:v>23.435536503513372</c:v>
                </c:pt>
                <c:pt idx="18">
                  <c:v>24.021424916101203</c:v>
                </c:pt>
                <c:pt idx="19">
                  <c:v>24.62196053900373</c:v>
                </c:pt>
                <c:pt idx="20">
                  <c:v>25.237509552478823</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16.941890625000003</c:v>
                </c:pt>
                <c:pt idx="1">
                  <c:v>17.365437890625003</c:v>
                </c:pt>
                <c:pt idx="2">
                  <c:v>17.799573837890627</c:v>
                </c:pt>
                <c:pt idx="3">
                  <c:v>18.24456318383789</c:v>
                </c:pt>
                <c:pt idx="4">
                  <c:v>18.700677263433835</c:v>
                </c:pt>
                <c:pt idx="5">
                  <c:v>19.16819419501968</c:v>
                </c:pt>
                <c:pt idx="6">
                  <c:v>19.647399049895171</c:v>
                </c:pt>
                <c:pt idx="7">
                  <c:v>20.138584026142549</c:v>
                </c:pt>
                <c:pt idx="8">
                  <c:v>20.642048626796111</c:v>
                </c:pt>
                <c:pt idx="9">
                  <c:v>21.158099842466012</c:v>
                </c:pt>
                <c:pt idx="10">
                  <c:v>21.687052338527661</c:v>
                </c:pt>
                <c:pt idx="11">
                  <c:v>22.229228646990851</c:v>
                </c:pt>
                <c:pt idx="12">
                  <c:v>22.784959363165619</c:v>
                </c:pt>
                <c:pt idx="13">
                  <c:v>23.354583347244759</c:v>
                </c:pt>
                <c:pt idx="14">
                  <c:v>23.938447930925875</c:v>
                </c:pt>
                <c:pt idx="15">
                  <c:v>24.536909129199021</c:v>
                </c:pt>
                <c:pt idx="16">
                  <c:v>25.150331857428995</c:v>
                </c:pt>
                <c:pt idx="17">
                  <c:v>25.779090153864718</c:v>
                </c:pt>
                <c:pt idx="18">
                  <c:v>26.423567407711335</c:v>
                </c:pt>
                <c:pt idx="19">
                  <c:v>27.084156592904115</c:v>
                </c:pt>
                <c:pt idx="20">
                  <c:v>27.761260507726714</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18.636079687500004</c:v>
                </c:pt>
                <c:pt idx="1">
                  <c:v>19.101981679687501</c:v>
                </c:pt>
                <c:pt idx="2">
                  <c:v>19.579531221679687</c:v>
                </c:pt>
                <c:pt idx="3">
                  <c:v>20.069019502221678</c:v>
                </c:pt>
                <c:pt idx="4">
                  <c:v>20.570744989777218</c:v>
                </c:pt>
                <c:pt idx="5">
                  <c:v>21.085013614521646</c:v>
                </c:pt>
                <c:pt idx="6">
                  <c:v>21.612138954884685</c:v>
                </c:pt>
                <c:pt idx="7">
                  <c:v>22.1524424287568</c:v>
                </c:pt>
                <c:pt idx="8">
                  <c:v>22.706253489475717</c:v>
                </c:pt>
                <c:pt idx="9">
                  <c:v>23.273909826712607</c:v>
                </c:pt>
                <c:pt idx="10">
                  <c:v>23.855757572380419</c:v>
                </c:pt>
                <c:pt idx="11">
                  <c:v>24.452151511689927</c:v>
                </c:pt>
                <c:pt idx="12">
                  <c:v>25.063455299482172</c:v>
                </c:pt>
                <c:pt idx="13">
                  <c:v>25.690041681969223</c:v>
                </c:pt>
                <c:pt idx="14">
                  <c:v>26.332292724018451</c:v>
                </c:pt>
                <c:pt idx="15">
                  <c:v>26.99060004211891</c:v>
                </c:pt>
                <c:pt idx="16">
                  <c:v>27.665365043171882</c:v>
                </c:pt>
                <c:pt idx="17">
                  <c:v>28.356999169251175</c:v>
                </c:pt>
                <c:pt idx="18">
                  <c:v>29.065924148482452</c:v>
                </c:pt>
                <c:pt idx="19">
                  <c:v>29.79257225219451</c:v>
                </c:pt>
                <c:pt idx="20">
                  <c:v>30.537386558499371</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20.499687656250007</c:v>
                </c:pt>
                <c:pt idx="1">
                  <c:v>21.012179847656256</c:v>
                </c:pt>
                <c:pt idx="2">
                  <c:v>21.537484343847659</c:v>
                </c:pt>
                <c:pt idx="3">
                  <c:v>22.075921452443847</c:v>
                </c:pt>
                <c:pt idx="4">
                  <c:v>22.627819488754941</c:v>
                </c:pt>
                <c:pt idx="5">
                  <c:v>23.193514975973812</c:v>
                </c:pt>
                <c:pt idx="6">
                  <c:v>23.773352850373154</c:v>
                </c:pt>
                <c:pt idx="7">
                  <c:v>24.36768667163248</c:v>
                </c:pt>
                <c:pt idx="8">
                  <c:v>24.976878838423289</c:v>
                </c:pt>
                <c:pt idx="9">
                  <c:v>25.601300809383869</c:v>
                </c:pt>
                <c:pt idx="10">
                  <c:v>26.241333329618463</c:v>
                </c:pt>
                <c:pt idx="11">
                  <c:v>26.897366662858921</c:v>
                </c:pt>
                <c:pt idx="12">
                  <c:v>27.569800829430392</c:v>
                </c:pt>
                <c:pt idx="13">
                  <c:v>28.259045850166149</c:v>
                </c:pt>
                <c:pt idx="14">
                  <c:v>28.9655219964203</c:v>
                </c:pt>
                <c:pt idx="15">
                  <c:v>29.689660046330804</c:v>
                </c:pt>
                <c:pt idx="16">
                  <c:v>30.431901547489073</c:v>
                </c:pt>
                <c:pt idx="17">
                  <c:v>31.192699086176297</c:v>
                </c:pt>
                <c:pt idx="18">
                  <c:v>31.972516563330704</c:v>
                </c:pt>
                <c:pt idx="19">
                  <c:v>32.771829477413966</c:v>
                </c:pt>
                <c:pt idx="20">
                  <c:v>33.591125214349312</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22.54965642187501</c:v>
                </c:pt>
                <c:pt idx="1">
                  <c:v>23.113397832421885</c:v>
                </c:pt>
                <c:pt idx="2">
                  <c:v>23.691232778232429</c:v>
                </c:pt>
                <c:pt idx="3">
                  <c:v>24.283513597688238</c:v>
                </c:pt>
                <c:pt idx="4">
                  <c:v>24.890601437630441</c:v>
                </c:pt>
                <c:pt idx="5">
                  <c:v>25.512866473571201</c:v>
                </c:pt>
                <c:pt idx="6">
                  <c:v>26.15068813541048</c:v>
                </c:pt>
                <c:pt idx="7">
                  <c:v>26.804455338795741</c:v>
                </c:pt>
                <c:pt idx="8">
                  <c:v>27.474566722265632</c:v>
                </c:pt>
                <c:pt idx="9">
                  <c:v>28.161430890322269</c:v>
                </c:pt>
                <c:pt idx="10">
                  <c:v>28.865466662580324</c:v>
                </c:pt>
                <c:pt idx="11">
                  <c:v>29.587103329144831</c:v>
                </c:pt>
                <c:pt idx="12">
                  <c:v>30.326780912373451</c:v>
                </c:pt>
                <c:pt idx="13">
                  <c:v>31.084950435182783</c:v>
                </c:pt>
                <c:pt idx="14">
                  <c:v>31.862074196062348</c:v>
                </c:pt>
                <c:pt idx="15">
                  <c:v>32.658626050963903</c:v>
                </c:pt>
                <c:pt idx="16">
                  <c:v>33.475091702237997</c:v>
                </c:pt>
                <c:pt idx="17">
                  <c:v>34.311968994793943</c:v>
                </c:pt>
                <c:pt idx="18">
                  <c:v>35.169768219663787</c:v>
                </c:pt>
                <c:pt idx="19">
                  <c:v>36.049012425155375</c:v>
                </c:pt>
                <c:pt idx="20">
                  <c:v>36.950237735784256</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0</c:v>
                </c:pt>
                <c:pt idx="1">
                  <c:v>0.12</c:v>
                </c:pt>
                <c:pt idx="2">
                  <c:v>0.28799999999999998</c:v>
                </c:pt>
                <c:pt idx="3">
                  <c:v>0.25600000000000001</c:v>
                </c:pt>
                <c:pt idx="4">
                  <c:v>0.184</c:v>
                </c:pt>
                <c:pt idx="5">
                  <c:v>0.12</c:v>
                </c:pt>
                <c:pt idx="6">
                  <c:v>3.2000000000000001E-2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3a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12.728694454687501</c:v>
                </c:pt>
                <c:pt idx="1">
                  <c:v>13.046911816054687</c:v>
                </c:pt>
                <c:pt idx="2">
                  <c:v>13.373084611456052</c:v>
                </c:pt>
                <c:pt idx="3">
                  <c:v>13.707411726742453</c:v>
                </c:pt>
                <c:pt idx="4">
                  <c:v>14.050097019911014</c:v>
                </c:pt>
                <c:pt idx="5">
                  <c:v>14.401349445408789</c:v>
                </c:pt>
                <c:pt idx="6">
                  <c:v>14.761383181544007</c:v>
                </c:pt>
                <c:pt idx="7">
                  <c:v>15.130417761082606</c:v>
                </c:pt>
                <c:pt idx="8">
                  <c:v>15.508678205109669</c:v>
                </c:pt>
                <c:pt idx="9">
                  <c:v>15.896395160237409</c:v>
                </c:pt>
                <c:pt idx="10">
                  <c:v>16.293805039243342</c:v>
                </c:pt>
                <c:pt idx="11">
                  <c:v>16.701150165224423</c:v>
                </c:pt>
                <c:pt idx="12">
                  <c:v>17.11867891935503</c:v>
                </c:pt>
                <c:pt idx="13">
                  <c:v>17.546645892338905</c:v>
                </c:pt>
                <c:pt idx="14">
                  <c:v>17.985312039647376</c:v>
                </c:pt>
                <c:pt idx="15">
                  <c:v>18.434944840638558</c:v>
                </c:pt>
                <c:pt idx="16">
                  <c:v>18.895818461654521</c:v>
                </c:pt>
                <c:pt idx="17">
                  <c:v>19.368213923195881</c:v>
                </c:pt>
                <c:pt idx="18">
                  <c:v>19.852419271275778</c:v>
                </c:pt>
                <c:pt idx="19">
                  <c:v>20.348729753057672</c:v>
                </c:pt>
                <c:pt idx="20">
                  <c:v>20.857447996884112</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14.001562500000002</c:v>
                </c:pt>
                <c:pt idx="1">
                  <c:v>14.351601562500001</c:v>
                </c:pt>
                <c:pt idx="2">
                  <c:v>14.710391601562499</c:v>
                </c:pt>
                <c:pt idx="3">
                  <c:v>15.07815139160156</c:v>
                </c:pt>
                <c:pt idx="4">
                  <c:v>15.455105176391598</c:v>
                </c:pt>
                <c:pt idx="5">
                  <c:v>15.841482805801386</c:v>
                </c:pt>
                <c:pt idx="6">
                  <c:v>16.237519875946418</c:v>
                </c:pt>
                <c:pt idx="7">
                  <c:v>16.643457872845076</c:v>
                </c:pt>
                <c:pt idx="8">
                  <c:v>17.059544319666202</c:v>
                </c:pt>
                <c:pt idx="9">
                  <c:v>17.486032927657856</c:v>
                </c:pt>
                <c:pt idx="10">
                  <c:v>17.923183750849301</c:v>
                </c:pt>
                <c:pt idx="11">
                  <c:v>18.37126334462053</c:v>
                </c:pt>
                <c:pt idx="12">
                  <c:v>18.830544928236041</c:v>
                </c:pt>
                <c:pt idx="13">
                  <c:v>19.301308551441942</c:v>
                </c:pt>
                <c:pt idx="14">
                  <c:v>19.783841265227988</c:v>
                </c:pt>
                <c:pt idx="15">
                  <c:v>20.278437296858687</c:v>
                </c:pt>
                <c:pt idx="16">
                  <c:v>20.785398229280151</c:v>
                </c:pt>
                <c:pt idx="17">
                  <c:v>21.305033185012153</c:v>
                </c:pt>
                <c:pt idx="18">
                  <c:v>21.837659014637456</c:v>
                </c:pt>
                <c:pt idx="19">
                  <c:v>22.383600490003392</c:v>
                </c:pt>
                <c:pt idx="20">
                  <c:v>22.943190502253476</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15.401718750000004</c:v>
                </c:pt>
                <c:pt idx="1">
                  <c:v>15.786761718750002</c:v>
                </c:pt>
                <c:pt idx="2">
                  <c:v>16.181430761718751</c:v>
                </c:pt>
                <c:pt idx="3">
                  <c:v>16.58596653076172</c:v>
                </c:pt>
                <c:pt idx="4">
                  <c:v>17.00061569403076</c:v>
                </c:pt>
                <c:pt idx="5">
                  <c:v>17.425631086381529</c:v>
                </c:pt>
                <c:pt idx="6">
                  <c:v>17.861271863541067</c:v>
                </c:pt>
                <c:pt idx="7">
                  <c:v>18.30780366012959</c:v>
                </c:pt>
                <c:pt idx="8">
                  <c:v>18.76549875163283</c:v>
                </c:pt>
                <c:pt idx="9">
                  <c:v>19.234636220423649</c:v>
                </c:pt>
                <c:pt idx="10">
                  <c:v>19.71550212593424</c:v>
                </c:pt>
                <c:pt idx="11">
                  <c:v>20.208389679082593</c:v>
                </c:pt>
                <c:pt idx="12">
                  <c:v>20.713599421059655</c:v>
                </c:pt>
                <c:pt idx="13">
                  <c:v>21.231439406586144</c:v>
                </c:pt>
                <c:pt idx="14">
                  <c:v>21.762225391750796</c:v>
                </c:pt>
                <c:pt idx="15">
                  <c:v>22.306281026544564</c:v>
                </c:pt>
                <c:pt idx="16">
                  <c:v>22.863938052208177</c:v>
                </c:pt>
                <c:pt idx="17">
                  <c:v>23.435536503513379</c:v>
                </c:pt>
                <c:pt idx="18">
                  <c:v>24.021424916101211</c:v>
                </c:pt>
                <c:pt idx="19">
                  <c:v>24.621960539003737</c:v>
                </c:pt>
                <c:pt idx="20">
                  <c:v>25.23750955247883</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16.941890625000006</c:v>
                </c:pt>
                <c:pt idx="1">
                  <c:v>17.365437890625007</c:v>
                </c:pt>
                <c:pt idx="2">
                  <c:v>17.79957383789063</c:v>
                </c:pt>
                <c:pt idx="3">
                  <c:v>18.244563183837894</c:v>
                </c:pt>
                <c:pt idx="4">
                  <c:v>18.700677263433839</c:v>
                </c:pt>
                <c:pt idx="5">
                  <c:v>19.168194195019684</c:v>
                </c:pt>
                <c:pt idx="6">
                  <c:v>19.647399049895174</c:v>
                </c:pt>
                <c:pt idx="7">
                  <c:v>20.138584026142553</c:v>
                </c:pt>
                <c:pt idx="8">
                  <c:v>20.642048626796115</c:v>
                </c:pt>
                <c:pt idx="9">
                  <c:v>21.158099842466015</c:v>
                </c:pt>
                <c:pt idx="10">
                  <c:v>21.687052338527664</c:v>
                </c:pt>
                <c:pt idx="11">
                  <c:v>22.229228646990855</c:v>
                </c:pt>
                <c:pt idx="12">
                  <c:v>22.784959363165623</c:v>
                </c:pt>
                <c:pt idx="13">
                  <c:v>23.354583347244763</c:v>
                </c:pt>
                <c:pt idx="14">
                  <c:v>23.938447930925879</c:v>
                </c:pt>
                <c:pt idx="15">
                  <c:v>24.536909129199024</c:v>
                </c:pt>
                <c:pt idx="16">
                  <c:v>25.150331857428998</c:v>
                </c:pt>
                <c:pt idx="17">
                  <c:v>25.779090153864722</c:v>
                </c:pt>
                <c:pt idx="18">
                  <c:v>26.423567407711339</c:v>
                </c:pt>
                <c:pt idx="19">
                  <c:v>27.084156592904119</c:v>
                </c:pt>
                <c:pt idx="20">
                  <c:v>27.761260507726718</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18.636079687500008</c:v>
                </c:pt>
                <c:pt idx="1">
                  <c:v>19.101981679687505</c:v>
                </c:pt>
                <c:pt idx="2">
                  <c:v>19.579531221679691</c:v>
                </c:pt>
                <c:pt idx="3">
                  <c:v>20.069019502221682</c:v>
                </c:pt>
                <c:pt idx="4">
                  <c:v>20.570744989777221</c:v>
                </c:pt>
                <c:pt idx="5">
                  <c:v>21.08501361452165</c:v>
                </c:pt>
                <c:pt idx="6">
                  <c:v>21.612138954884689</c:v>
                </c:pt>
                <c:pt idx="7">
                  <c:v>22.152442428756803</c:v>
                </c:pt>
                <c:pt idx="8">
                  <c:v>22.706253489475721</c:v>
                </c:pt>
                <c:pt idx="9">
                  <c:v>23.273909826712611</c:v>
                </c:pt>
                <c:pt idx="10">
                  <c:v>23.855757572380423</c:v>
                </c:pt>
                <c:pt idx="11">
                  <c:v>24.45215151168993</c:v>
                </c:pt>
                <c:pt idx="12">
                  <c:v>25.063455299482175</c:v>
                </c:pt>
                <c:pt idx="13">
                  <c:v>25.690041681969227</c:v>
                </c:pt>
                <c:pt idx="14">
                  <c:v>26.332292724018455</c:v>
                </c:pt>
                <c:pt idx="15">
                  <c:v>26.990600042118913</c:v>
                </c:pt>
                <c:pt idx="16">
                  <c:v>27.665365043171885</c:v>
                </c:pt>
                <c:pt idx="17">
                  <c:v>28.356999169251178</c:v>
                </c:pt>
                <c:pt idx="18">
                  <c:v>29.065924148482456</c:v>
                </c:pt>
                <c:pt idx="19">
                  <c:v>29.792572252194514</c:v>
                </c:pt>
                <c:pt idx="20">
                  <c:v>30.537386558499374</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20.499687656250011</c:v>
                </c:pt>
                <c:pt idx="1">
                  <c:v>21.01217984765626</c:v>
                </c:pt>
                <c:pt idx="2">
                  <c:v>21.537484343847662</c:v>
                </c:pt>
                <c:pt idx="3">
                  <c:v>22.075921452443851</c:v>
                </c:pt>
                <c:pt idx="4">
                  <c:v>22.627819488754945</c:v>
                </c:pt>
                <c:pt idx="5">
                  <c:v>23.193514975973816</c:v>
                </c:pt>
                <c:pt idx="6">
                  <c:v>23.773352850373158</c:v>
                </c:pt>
                <c:pt idx="7">
                  <c:v>24.367686671632484</c:v>
                </c:pt>
                <c:pt idx="8">
                  <c:v>24.976878838423293</c:v>
                </c:pt>
                <c:pt idx="9">
                  <c:v>25.601300809383872</c:v>
                </c:pt>
                <c:pt idx="10">
                  <c:v>26.241333329618467</c:v>
                </c:pt>
                <c:pt idx="11">
                  <c:v>26.897366662858925</c:v>
                </c:pt>
                <c:pt idx="12">
                  <c:v>27.569800829430395</c:v>
                </c:pt>
                <c:pt idx="13">
                  <c:v>28.259045850166153</c:v>
                </c:pt>
                <c:pt idx="14">
                  <c:v>28.965521996420303</c:v>
                </c:pt>
                <c:pt idx="15">
                  <c:v>29.689660046330808</c:v>
                </c:pt>
                <c:pt idx="16">
                  <c:v>30.431901547489076</c:v>
                </c:pt>
                <c:pt idx="17">
                  <c:v>31.192699086176301</c:v>
                </c:pt>
                <c:pt idx="18">
                  <c:v>31.972516563330707</c:v>
                </c:pt>
                <c:pt idx="19">
                  <c:v>32.771829477413974</c:v>
                </c:pt>
                <c:pt idx="20">
                  <c:v>33.591125214349319</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2.8571428571428571E-2</c:v>
                </c:pt>
                <c:pt idx="1">
                  <c:v>0.19682539682539682</c:v>
                </c:pt>
                <c:pt idx="2">
                  <c:v>0.21587301587301588</c:v>
                </c:pt>
                <c:pt idx="3">
                  <c:v>0.17777777777777778</c:v>
                </c:pt>
                <c:pt idx="4">
                  <c:v>0.16825396825396827</c:v>
                </c:pt>
                <c:pt idx="5">
                  <c:v>0.13968253968253969</c:v>
                </c:pt>
                <c:pt idx="6">
                  <c:v>7.6190476190476197E-2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6.8003712708288103E-2"/>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913914461821223"/>
                      <c:h val="9.977780250670705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0.1226689845587484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3.674677029007730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8.861540034768365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8673313563077326"/>
                  <c:y val="5.893536577759225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0.87619047619047619</c:v>
                </c:pt>
                <c:pt idx="1">
                  <c:v>6.0317460317460318E-2</c:v>
                </c:pt>
                <c:pt idx="2">
                  <c:v>3.4920634920634921E-2</c:v>
                </c:pt>
                <c:pt idx="3">
                  <c:v>1.5873015873015872E-2</c:v>
                </c:pt>
                <c:pt idx="4">
                  <c:v>6.3492063492063492E-3</c:v>
                </c:pt>
                <c:pt idx="5">
                  <c:v>3.1746031746031746E-3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1904178024806509"/>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13.53</c:v>
                </c:pt>
                <c:pt idx="1">
                  <c:v>12.3</c:v>
                </c:pt>
                <c:pt idx="2">
                  <c:v>14.09</c:v>
                </c:pt>
                <c:pt idx="3">
                  <c:v>15.2</c:v>
                </c:pt>
                <c:pt idx="4">
                  <c:v>16.95</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1-F6ED-486E-9738-73E027D527C1}"/>
              </c:ext>
            </c:extLst>
          </c:dPt>
          <c:dPt>
            <c:idx val="2"/>
            <c:invertIfNegative val="0"/>
            <c:bubble3D val="0"/>
            <c:spPr>
              <a:solidFill>
                <a:srgbClr val="D45D00"/>
              </a:solidFill>
              <a:ln>
                <a:noFill/>
              </a:ln>
              <a:effectLst/>
            </c:spPr>
            <c:extLst>
              <c:ext xmlns:c16="http://schemas.microsoft.com/office/drawing/2014/chart" uri="{C3380CC4-5D6E-409C-BE32-E72D297353CC}">
                <c16:uniqueId val="{00000003-41A6-42F6-916C-0D812EE9CC1D}"/>
              </c:ext>
            </c:extLst>
          </c:dPt>
          <c:dPt>
            <c:idx val="5"/>
            <c:invertIfNegative val="0"/>
            <c:bubble3D val="0"/>
            <c:spPr>
              <a:solidFill>
                <a:srgbClr val="003E51"/>
              </a:solidFill>
              <a:ln>
                <a:noFill/>
              </a:ln>
              <a:effectLst/>
            </c:spPr>
            <c:extLst>
              <c:ext xmlns:c16="http://schemas.microsoft.com/office/drawing/2014/chart" uri="{C3380CC4-5D6E-409C-BE32-E72D297353CC}">
                <c16:uniqueId val="{00000005-AC4E-49A2-9F82-27A36077CB6B}"/>
              </c:ext>
            </c:extLst>
          </c:dPt>
          <c:dLbls>
            <c:dLbl>
              <c:idx val="0"/>
              <c:layout>
                <c:manualLayout>
                  <c:x val="-6.7557516222525099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2E-4BBC-97DE-BCB9267DD8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Home Health and Personal Care Aide</c:v>
                </c:pt>
                <c:pt idx="2">
                  <c:v>Aide/Floater</c:v>
                </c:pt>
                <c:pt idx="3">
                  <c:v>Library Technician</c:v>
                </c:pt>
                <c:pt idx="4">
                  <c:v>Bank Teller</c:v>
                </c:pt>
                <c:pt idx="5">
                  <c:v>Waiter/Waitress</c:v>
                </c:pt>
              </c:strCache>
            </c:strRef>
          </c:cat>
          <c:val>
            <c:numRef>
              <c:f>'4C'!$Z$29:$Z$34</c:f>
              <c:numCache>
                <c:formatCode>_("$"* #,##0.00_);_("$"* \(#,##0.00\);_("$"* "-"??_);_(@_)</c:formatCode>
                <c:ptCount val="6"/>
                <c:pt idx="0">
                  <c:v>1.66</c:v>
                </c:pt>
                <c:pt idx="1">
                  <c:v>4.5500000000000007</c:v>
                </c:pt>
                <c:pt idx="2">
                  <c:v>4.6399999999999997</c:v>
                </c:pt>
                <c:pt idx="3">
                  <c:v>4.72</c:v>
                </c:pt>
                <c:pt idx="4">
                  <c:v>6.51</c:v>
                </c:pt>
                <c:pt idx="5">
                  <c:v>7.63</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3a</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-3.1746031746031746E-3</c:v>
                </c:pt>
                <c:pt idx="2">
                  <c:v>-8.2539682539682538E-2</c:v>
                </c:pt>
                <c:pt idx="3">
                  <c:v>-6.0317460317460318E-2</c:v>
                </c:pt>
                <c:pt idx="4">
                  <c:v>-3.4920634920634921E-2</c:v>
                </c:pt>
                <c:pt idx="5">
                  <c:v>-2.5396825396825397E-2</c:v>
                </c:pt>
                <c:pt idx="6">
                  <c:v>-5.3968253968253971E-2</c:v>
                </c:pt>
                <c:pt idx="7">
                  <c:v>-1.9047619047619049E-2</c:v>
                </c:pt>
                <c:pt idx="8">
                  <c:v>-3.4920634920634921E-2</c:v>
                </c:pt>
                <c:pt idx="9">
                  <c:v>-2.5396825396825397E-2</c:v>
                </c:pt>
                <c:pt idx="10">
                  <c:v>-3.1746031746031746E-3</c:v>
                </c:pt>
                <c:pt idx="11">
                  <c:v>0.16190476190476191</c:v>
                </c:pt>
                <c:pt idx="12">
                  <c:v>0.15873015873015872</c:v>
                </c:pt>
                <c:pt idx="13">
                  <c:v>9.2063492063492069E-2</c:v>
                </c:pt>
                <c:pt idx="14">
                  <c:v>0.13650793650793649</c:v>
                </c:pt>
                <c:pt idx="15">
                  <c:v>0.14603174603174604</c:v>
                </c:pt>
                <c:pt idx="16">
                  <c:v>0.17142857142857143</c:v>
                </c:pt>
                <c:pt idx="17">
                  <c:v>0.13968253968253969</c:v>
                </c:pt>
                <c:pt idx="18">
                  <c:v>0.13015873015873017</c:v>
                </c:pt>
                <c:pt idx="19">
                  <c:v>-5.7142857142857141E-2</c:v>
                </c:pt>
                <c:pt idx="20">
                  <c:v>-6.3492063492063492E-3</c:v>
                </c:pt>
                <c:pt idx="21">
                  <c:v>0</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3a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-5.946601941747575E-2</c:v>
                </c:pt>
                <c:pt idx="2">
                  <c:v>1.2135922330097044E-2</c:v>
                </c:pt>
                <c:pt idx="3">
                  <c:v>5.5825242718446487E-2</c:v>
                </c:pt>
                <c:pt idx="4">
                  <c:v>0.17718446601941737</c:v>
                </c:pt>
                <c:pt idx="5">
                  <c:v>0.20145631067961167</c:v>
                </c:pt>
                <c:pt idx="6">
                  <c:v>8.3737864077669838E-2</c:v>
                </c:pt>
                <c:pt idx="7">
                  <c:v>1.2135922330097044E-2</c:v>
                </c:pt>
                <c:pt idx="8">
                  <c:v>3.8834951456310711E-2</c:v>
                </c:pt>
                <c:pt idx="9">
                  <c:v>4.2475728155339759E-2</c:v>
                </c:pt>
                <c:pt idx="10">
                  <c:v>5.825242718446607E-2</c:v>
                </c:pt>
                <c:pt idx="11">
                  <c:v>0.11650485436893192</c:v>
                </c:pt>
                <c:pt idx="12">
                  <c:v>0.13106796116504854</c:v>
                </c:pt>
                <c:pt idx="13">
                  <c:v>0.23422330097087374</c:v>
                </c:pt>
                <c:pt idx="14">
                  <c:v>0.25849514563106785</c:v>
                </c:pt>
                <c:pt idx="15">
                  <c:v>0.33616504854368928</c:v>
                </c:pt>
                <c:pt idx="16">
                  <c:v>0.5376213592233009</c:v>
                </c:pt>
                <c:pt idx="17">
                  <c:v>0.56310679611650494</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c:v>
                </c:pt>
                <c:pt idx="1">
                  <c:v>9.0999999999999998E-2</c:v>
                </c:pt>
                <c:pt idx="2">
                  <c:v>8.5999999999999993E-2</c:v>
                </c:pt>
                <c:pt idx="3">
                  <c:v>8.3599999999999994E-2</c:v>
                </c:pt>
                <c:pt idx="4">
                  <c:v>8.1900000000000001E-2</c:v>
                </c:pt>
                <c:pt idx="5">
                  <c:v>7.8700000000000006E-2</c:v>
                </c:pt>
                <c:pt idx="6">
                  <c:v>6.5689999999999998E-2</c:v>
                </c:pt>
                <c:pt idx="7">
                  <c:v>6.3200000000000006E-2</c:v>
                </c:pt>
                <c:pt idx="8">
                  <c:v>6.1800000000000001E-2</c:v>
                </c:pt>
                <c:pt idx="9">
                  <c:v>5.7000000000000002E-2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0.14599999999999999</c:v>
                </c:pt>
                <c:pt idx="1">
                  <c:v>0.14169999999999999</c:v>
                </c:pt>
                <c:pt idx="2">
                  <c:v>0.1196</c:v>
                </c:pt>
                <c:pt idx="3">
                  <c:v>0.11169999999999999</c:v>
                </c:pt>
                <c:pt idx="4">
                  <c:v>9.5649999999999999E-2</c:v>
                </c:pt>
                <c:pt idx="5">
                  <c:v>9.4329999999999997E-2</c:v>
                </c:pt>
                <c:pt idx="6">
                  <c:v>7.6850000000000002E-2</c:v>
                </c:pt>
                <c:pt idx="7">
                  <c:v>7.2120000000000004E-2</c:v>
                </c:pt>
                <c:pt idx="8">
                  <c:v>7.1249999999999994E-2</c:v>
                </c:pt>
                <c:pt idx="9">
                  <c:v>7.0000000000000007E-2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1</c:v>
                </c:pt>
                <c:pt idx="1">
                  <c:v>0</c:v>
                </c:pt>
                <c:pt idx="2">
                  <c:v>3</c:v>
                </c:pt>
                <c:pt idx="3">
                  <c:v>0</c:v>
                </c:pt>
                <c:pt idx="4">
                  <c:v>0</c:v>
                </c:pt>
                <c:pt idx="5">
                  <c:v>0</c:v>
                </c:pt>
                <c:pt idx="6">
                  <c:v>0</c:v>
                </c:pt>
                <c:pt idx="7">
                  <c:v>0</c:v>
                </c:pt>
                <c:pt idx="8">
                  <c:v>1</c:v>
                </c:pt>
                <c:pt idx="9">
                  <c:v>0</c:v>
                </c:pt>
                <c:pt idx="10">
                  <c:v>0</c:v>
                </c:pt>
                <c:pt idx="11">
                  <c:v>0</c:v>
                </c:pt>
                <c:pt idx="12">
                  <c:v>1</c:v>
                </c:pt>
                <c:pt idx="13">
                  <c:v>0</c:v>
                </c:pt>
                <c:pt idx="14">
                  <c:v>1</c:v>
                </c:pt>
                <c:pt idx="15">
                  <c:v>0</c:v>
                </c:pt>
                <c:pt idx="16">
                  <c:v>0</c:v>
                </c:pt>
                <c:pt idx="17">
                  <c:v>1</c:v>
                </c:pt>
                <c:pt idx="18">
                  <c:v>1</c:v>
                </c:pt>
                <c:pt idx="19">
                  <c:v>1</c:v>
                </c:pt>
                <c:pt idx="20">
                  <c:v>0</c:v>
                </c:pt>
                <c:pt idx="21">
                  <c:v>0</c:v>
                </c:pt>
                <c:pt idx="22">
                  <c:v>1</c:v>
                </c:pt>
                <c:pt idx="23">
                  <c:v>1</c:v>
                </c:pt>
                <c:pt idx="24">
                  <c:v>1</c:v>
                </c:pt>
                <c:pt idx="25">
                  <c:v>1</c:v>
                </c:pt>
                <c:pt idx="26">
                  <c:v>1</c:v>
                </c:pt>
                <c:pt idx="27">
                  <c:v>0</c:v>
                </c:pt>
                <c:pt idx="28">
                  <c:v>0</c:v>
                </c:pt>
                <c:pt idx="29">
                  <c:v>1</c:v>
                </c:pt>
                <c:pt idx="30">
                  <c:v>0</c:v>
                </c:pt>
                <c:pt idx="31">
                  <c:v>2</c:v>
                </c:pt>
                <c:pt idx="32">
                  <c:v>3</c:v>
                </c:pt>
                <c:pt idx="33">
                  <c:v>7</c:v>
                </c:pt>
                <c:pt idx="34">
                  <c:v>3</c:v>
                </c:pt>
                <c:pt idx="35">
                  <c:v>0</c:v>
                </c:pt>
                <c:pt idx="36">
                  <c:v>2</c:v>
                </c:pt>
                <c:pt idx="37">
                  <c:v>1</c:v>
                </c:pt>
                <c:pt idx="38">
                  <c:v>1</c:v>
                </c:pt>
                <c:pt idx="39">
                  <c:v>0</c:v>
                </c:pt>
                <c:pt idx="40">
                  <c:v>0</c:v>
                </c:pt>
                <c:pt idx="41">
                  <c:v>1</c:v>
                </c:pt>
                <c:pt idx="42">
                  <c:v>0</c:v>
                </c:pt>
                <c:pt idx="43">
                  <c:v>4</c:v>
                </c:pt>
                <c:pt idx="44">
                  <c:v>2</c:v>
                </c:pt>
                <c:pt idx="45">
                  <c:v>0</c:v>
                </c:pt>
                <c:pt idx="46">
                  <c:v>0</c:v>
                </c:pt>
                <c:pt idx="47">
                  <c:v>1</c:v>
                </c:pt>
                <c:pt idx="48">
                  <c:v>1</c:v>
                </c:pt>
                <c:pt idx="49">
                  <c:v>1</c:v>
                </c:pt>
                <c:pt idx="50">
                  <c:v>1</c:v>
                </c:pt>
                <c:pt idx="51">
                  <c:v>3</c:v>
                </c:pt>
                <c:pt idx="52">
                  <c:v>1</c:v>
                </c:pt>
                <c:pt idx="53">
                  <c:v>0</c:v>
                </c:pt>
                <c:pt idx="54">
                  <c:v>1</c:v>
                </c:pt>
                <c:pt idx="55">
                  <c:v>12</c:v>
                </c:pt>
                <c:pt idx="56">
                  <c:v>0</c:v>
                </c:pt>
                <c:pt idx="57">
                  <c:v>4</c:v>
                </c:pt>
                <c:pt idx="58">
                  <c:v>0</c:v>
                </c:pt>
                <c:pt idx="59">
                  <c:v>1</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8"/>
                <c:pt idx="0">
                  <c:v>Care Group</c:v>
                </c:pt>
                <c:pt idx="1">
                  <c:v>Sunrise Childcare Center</c:v>
                </c:pt>
                <c:pt idx="2">
                  <c:v>State of Michigan</c:v>
                </c:pt>
                <c:pt idx="3">
                  <c:v>Artemide</c:v>
                </c:pt>
                <c:pt idx="4">
                  <c:v>Chartwells</c:v>
                </c:pt>
                <c:pt idx="5">
                  <c:v>Stepping Stones Childcare Center</c:v>
                </c:pt>
                <c:pt idx="6">
                  <c:v>Roscommon County Commission On Aging</c:v>
                </c:pt>
                <c:pt idx="7">
                  <c:v>Johannesburg-Lewiston Area Schools</c:v>
                </c:pt>
              </c:strCache>
            </c:strRef>
          </c:cat>
          <c:val>
            <c:numRef>
              <c:f>'4F'!$G$5:$G$14</c:f>
              <c:numCache>
                <c:formatCode>#,##0</c:formatCode>
                <c:ptCount val="10"/>
                <c:pt idx="0">
                  <c:v>11</c:v>
                </c:pt>
                <c:pt idx="1">
                  <c:v>3</c:v>
                </c:pt>
                <c:pt idx="2">
                  <c:v>3</c:v>
                </c:pt>
                <c:pt idx="3">
                  <c:v>1</c:v>
                </c:pt>
                <c:pt idx="4">
                  <c:v>1</c:v>
                </c:pt>
                <c:pt idx="5">
                  <c:v>1</c:v>
                </c:pt>
                <c:pt idx="6">
                  <c:v>1</c:v>
                </c:pt>
                <c:pt idx="7">
                  <c:v>1</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3a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17.501954875195317</c:v>
                </c:pt>
                <c:pt idx="1">
                  <c:v>17.939503747075197</c:v>
                </c:pt>
                <c:pt idx="2">
                  <c:v>18.387991340752073</c:v>
                </c:pt>
                <c:pt idx="3">
                  <c:v>18.847691124270874</c:v>
                </c:pt>
                <c:pt idx="4">
                  <c:v>19.318883402377644</c:v>
                </c:pt>
                <c:pt idx="5">
                  <c:v>19.801855487437084</c:v>
                </c:pt>
                <c:pt idx="6">
                  <c:v>20.296901874623011</c:v>
                </c:pt>
                <c:pt idx="7">
                  <c:v>20.804324421488584</c:v>
                </c:pt>
                <c:pt idx="8">
                  <c:v>21.324432532025796</c:v>
                </c:pt>
                <c:pt idx="9">
                  <c:v>21.857543345326437</c:v>
                </c:pt>
                <c:pt idx="10">
                  <c:v>22.403981928959595</c:v>
                </c:pt>
                <c:pt idx="11">
                  <c:v>22.964081477183584</c:v>
                </c:pt>
                <c:pt idx="12">
                  <c:v>23.538183514113172</c:v>
                </c:pt>
                <c:pt idx="13">
                  <c:v>24.126638101965998</c:v>
                </c:pt>
                <c:pt idx="14">
                  <c:v>24.729804054515146</c:v>
                </c:pt>
                <c:pt idx="15">
                  <c:v>25.348049155878023</c:v>
                </c:pt>
                <c:pt idx="16">
                  <c:v>25.981750384774973</c:v>
                </c:pt>
                <c:pt idx="17">
                  <c:v>26.631294144394346</c:v>
                </c:pt>
                <c:pt idx="18">
                  <c:v>27.297076498004202</c:v>
                </c:pt>
                <c:pt idx="19">
                  <c:v>27.979503410454306</c:v>
                </c:pt>
                <c:pt idx="20">
                  <c:v>28.678990995715662</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20.535625000000003</c:v>
                </c:pt>
                <c:pt idx="1">
                  <c:v>21.049015625000003</c:v>
                </c:pt>
                <c:pt idx="2">
                  <c:v>21.575241015625</c:v>
                </c:pt>
                <c:pt idx="3">
                  <c:v>22.114622041015622</c:v>
                </c:pt>
                <c:pt idx="4">
                  <c:v>22.667487592041009</c:v>
                </c:pt>
                <c:pt idx="5">
                  <c:v>23.234174781842032</c:v>
                </c:pt>
                <c:pt idx="6">
                  <c:v>23.815029151388082</c:v>
                </c:pt>
                <c:pt idx="7">
                  <c:v>24.410404880172781</c:v>
                </c:pt>
                <c:pt idx="8">
                  <c:v>25.020665002177097</c:v>
                </c:pt>
                <c:pt idx="9">
                  <c:v>25.64618162723152</c:v>
                </c:pt>
                <c:pt idx="10">
                  <c:v>26.287336167912308</c:v>
                </c:pt>
                <c:pt idx="11">
                  <c:v>26.944519572110114</c:v>
                </c:pt>
                <c:pt idx="12">
                  <c:v>27.618132561412864</c:v>
                </c:pt>
                <c:pt idx="13">
                  <c:v>28.308585875448184</c:v>
                </c:pt>
                <c:pt idx="14">
                  <c:v>29.016300522334387</c:v>
                </c:pt>
                <c:pt idx="15">
                  <c:v>29.741708035392744</c:v>
                </c:pt>
                <c:pt idx="16">
                  <c:v>30.48525073627756</c:v>
                </c:pt>
                <c:pt idx="17">
                  <c:v>31.247382004684496</c:v>
                </c:pt>
                <c:pt idx="18">
                  <c:v>32.028566554801607</c:v>
                </c:pt>
                <c:pt idx="19">
                  <c:v>32.829280718671647</c:v>
                </c:pt>
                <c:pt idx="20">
                  <c:v>33.650012736638438</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22.589187500000005</c:v>
                </c:pt>
                <c:pt idx="1">
                  <c:v>23.153917187500003</c:v>
                </c:pt>
                <c:pt idx="2">
                  <c:v>23.732765117187501</c:v>
                </c:pt>
                <c:pt idx="3">
                  <c:v>24.326084245117187</c:v>
                </c:pt>
                <c:pt idx="4">
                  <c:v>24.934236351245115</c:v>
                </c:pt>
                <c:pt idx="5">
                  <c:v>25.55759226002624</c:v>
                </c:pt>
                <c:pt idx="6">
                  <c:v>26.196532066526895</c:v>
                </c:pt>
                <c:pt idx="7">
                  <c:v>26.851445368190067</c:v>
                </c:pt>
                <c:pt idx="8">
                  <c:v>27.522731502394816</c:v>
                </c:pt>
                <c:pt idx="9">
                  <c:v>28.210799789954685</c:v>
                </c:pt>
                <c:pt idx="10">
                  <c:v>28.916069784703549</c:v>
                </c:pt>
                <c:pt idx="11">
                  <c:v>29.638971529321136</c:v>
                </c:pt>
                <c:pt idx="12">
                  <c:v>30.379945817554162</c:v>
                </c:pt>
                <c:pt idx="13">
                  <c:v>31.139444462993012</c:v>
                </c:pt>
                <c:pt idx="14">
                  <c:v>31.917930574567833</c:v>
                </c:pt>
                <c:pt idx="15">
                  <c:v>32.715878838932028</c:v>
                </c:pt>
                <c:pt idx="16">
                  <c:v>33.533775809905329</c:v>
                </c:pt>
                <c:pt idx="17">
                  <c:v>34.37212020515296</c:v>
                </c:pt>
                <c:pt idx="18">
                  <c:v>35.231423210281783</c:v>
                </c:pt>
                <c:pt idx="19">
                  <c:v>36.112208790538823</c:v>
                </c:pt>
                <c:pt idx="20">
                  <c:v>37.015014010302288</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24.848106250000008</c:v>
                </c:pt>
                <c:pt idx="1">
                  <c:v>25.469308906250006</c:v>
                </c:pt>
                <c:pt idx="2">
                  <c:v>26.106041628906254</c:v>
                </c:pt>
                <c:pt idx="3">
                  <c:v>26.758692669628907</c:v>
                </c:pt>
                <c:pt idx="4">
                  <c:v>27.427659986369626</c:v>
                </c:pt>
                <c:pt idx="5">
                  <c:v>28.113351486028865</c:v>
                </c:pt>
                <c:pt idx="6">
                  <c:v>28.816185273179585</c:v>
                </c:pt>
                <c:pt idx="7">
                  <c:v>29.536589905009073</c:v>
                </c:pt>
                <c:pt idx="8">
                  <c:v>30.275004652634298</c:v>
                </c:pt>
                <c:pt idx="9">
                  <c:v>31.031879768950152</c:v>
                </c:pt>
                <c:pt idx="10">
                  <c:v>31.807676763173902</c:v>
                </c:pt>
                <c:pt idx="11">
                  <c:v>32.602868682253245</c:v>
                </c:pt>
                <c:pt idx="12">
                  <c:v>33.417940399309572</c:v>
                </c:pt>
                <c:pt idx="13">
                  <c:v>34.253388909292305</c:v>
                </c:pt>
                <c:pt idx="14">
                  <c:v>35.109723632024611</c:v>
                </c:pt>
                <c:pt idx="15">
                  <c:v>35.987466722825225</c:v>
                </c:pt>
                <c:pt idx="16">
                  <c:v>36.887153390895854</c:v>
                </c:pt>
                <c:pt idx="17">
                  <c:v>37.80933222566825</c:v>
                </c:pt>
                <c:pt idx="18">
                  <c:v>38.75456553130995</c:v>
                </c:pt>
                <c:pt idx="19">
                  <c:v>39.723429669592697</c:v>
                </c:pt>
                <c:pt idx="20">
                  <c:v>40.716515411332509</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3a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15.910868068359376</c:v>
                </c:pt>
                <c:pt idx="1">
                  <c:v>16.308639770068357</c:v>
                </c:pt>
                <c:pt idx="2">
                  <c:v>16.716355764320063</c:v>
                </c:pt>
                <c:pt idx="3">
                  <c:v>17.134264658428062</c:v>
                </c:pt>
                <c:pt idx="4">
                  <c:v>17.562621274888762</c:v>
                </c:pt>
                <c:pt idx="5">
                  <c:v>18.001686806760979</c:v>
                </c:pt>
                <c:pt idx="6">
                  <c:v>18.451728976930003</c:v>
                </c:pt>
                <c:pt idx="7">
                  <c:v>18.91302220135325</c:v>
                </c:pt>
                <c:pt idx="8">
                  <c:v>19.385847756387079</c:v>
                </c:pt>
                <c:pt idx="9">
                  <c:v>19.870493950296755</c:v>
                </c:pt>
                <c:pt idx="10">
                  <c:v>20.367256299054173</c:v>
                </c:pt>
                <c:pt idx="11">
                  <c:v>20.876437706530524</c:v>
                </c:pt>
                <c:pt idx="12">
                  <c:v>21.398348649193785</c:v>
                </c:pt>
                <c:pt idx="13">
                  <c:v>21.933307365423627</c:v>
                </c:pt>
                <c:pt idx="14">
                  <c:v>22.481640049559214</c:v>
                </c:pt>
                <c:pt idx="15">
                  <c:v>23.043681050798192</c:v>
                </c:pt>
                <c:pt idx="16">
                  <c:v>23.619773077068146</c:v>
                </c:pt>
                <c:pt idx="17">
                  <c:v>24.210267403994848</c:v>
                </c:pt>
                <c:pt idx="18">
                  <c:v>24.815524089094716</c:v>
                </c:pt>
                <c:pt idx="19">
                  <c:v>25.435912191322082</c:v>
                </c:pt>
                <c:pt idx="20">
                  <c:v>26.071809996105131</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18.668750000000003</c:v>
                </c:pt>
                <c:pt idx="1">
                  <c:v>19.135468750000001</c:v>
                </c:pt>
                <c:pt idx="2">
                  <c:v>19.61385546875</c:v>
                </c:pt>
                <c:pt idx="3">
                  <c:v>20.104201855468748</c:v>
                </c:pt>
                <c:pt idx="4">
                  <c:v>20.606806901855464</c:v>
                </c:pt>
                <c:pt idx="5">
                  <c:v>21.121977074401848</c:v>
                </c:pt>
                <c:pt idx="6">
                  <c:v>21.650026501261891</c:v>
                </c:pt>
                <c:pt idx="7">
                  <c:v>22.191277163793437</c:v>
                </c:pt>
                <c:pt idx="8">
                  <c:v>22.74605909288827</c:v>
                </c:pt>
                <c:pt idx="9">
                  <c:v>23.314710570210476</c:v>
                </c:pt>
                <c:pt idx="10">
                  <c:v>23.897578334465734</c:v>
                </c:pt>
                <c:pt idx="11">
                  <c:v>24.495017792827376</c:v>
                </c:pt>
                <c:pt idx="12">
                  <c:v>25.107393237648058</c:v>
                </c:pt>
                <c:pt idx="13">
                  <c:v>25.735078068589257</c:v>
                </c:pt>
                <c:pt idx="14">
                  <c:v>26.378455020303985</c:v>
                </c:pt>
                <c:pt idx="15">
                  <c:v>27.037916395811582</c:v>
                </c:pt>
                <c:pt idx="16">
                  <c:v>27.713864305706871</c:v>
                </c:pt>
                <c:pt idx="17">
                  <c:v>28.406710913349539</c:v>
                </c:pt>
                <c:pt idx="18">
                  <c:v>29.116878686183274</c:v>
                </c:pt>
                <c:pt idx="19">
                  <c:v>29.844800653337852</c:v>
                </c:pt>
                <c:pt idx="20">
                  <c:v>30.590920669671295</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20.535625000000003</c:v>
                </c:pt>
                <c:pt idx="1">
                  <c:v>21.049015625000003</c:v>
                </c:pt>
                <c:pt idx="2">
                  <c:v>21.575241015625</c:v>
                </c:pt>
                <c:pt idx="3">
                  <c:v>22.114622041015622</c:v>
                </c:pt>
                <c:pt idx="4">
                  <c:v>22.667487592041009</c:v>
                </c:pt>
                <c:pt idx="5">
                  <c:v>23.234174781842032</c:v>
                </c:pt>
                <c:pt idx="6">
                  <c:v>23.815029151388082</c:v>
                </c:pt>
                <c:pt idx="7">
                  <c:v>24.410404880172781</c:v>
                </c:pt>
                <c:pt idx="8">
                  <c:v>25.020665002177097</c:v>
                </c:pt>
                <c:pt idx="9">
                  <c:v>25.64618162723152</c:v>
                </c:pt>
                <c:pt idx="10">
                  <c:v>26.287336167912308</c:v>
                </c:pt>
                <c:pt idx="11">
                  <c:v>26.944519572110114</c:v>
                </c:pt>
                <c:pt idx="12">
                  <c:v>27.618132561412864</c:v>
                </c:pt>
                <c:pt idx="13">
                  <c:v>28.308585875448184</c:v>
                </c:pt>
                <c:pt idx="14">
                  <c:v>29.016300522334387</c:v>
                </c:pt>
                <c:pt idx="15">
                  <c:v>29.741708035392744</c:v>
                </c:pt>
                <c:pt idx="16">
                  <c:v>30.48525073627756</c:v>
                </c:pt>
                <c:pt idx="17">
                  <c:v>31.247382004684496</c:v>
                </c:pt>
                <c:pt idx="18">
                  <c:v>32.028566554801607</c:v>
                </c:pt>
                <c:pt idx="19">
                  <c:v>32.829280718671647</c:v>
                </c:pt>
                <c:pt idx="20">
                  <c:v>33.650012736638438</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22.589187500000005</c:v>
                </c:pt>
                <c:pt idx="1">
                  <c:v>23.153917187500003</c:v>
                </c:pt>
                <c:pt idx="2">
                  <c:v>23.732765117187501</c:v>
                </c:pt>
                <c:pt idx="3">
                  <c:v>24.326084245117187</c:v>
                </c:pt>
                <c:pt idx="4">
                  <c:v>24.934236351245115</c:v>
                </c:pt>
                <c:pt idx="5">
                  <c:v>25.55759226002624</c:v>
                </c:pt>
                <c:pt idx="6">
                  <c:v>26.196532066526895</c:v>
                </c:pt>
                <c:pt idx="7">
                  <c:v>26.851445368190067</c:v>
                </c:pt>
                <c:pt idx="8">
                  <c:v>27.522731502394816</c:v>
                </c:pt>
                <c:pt idx="9">
                  <c:v>28.210799789954685</c:v>
                </c:pt>
                <c:pt idx="10">
                  <c:v>28.916069784703549</c:v>
                </c:pt>
                <c:pt idx="11">
                  <c:v>29.638971529321136</c:v>
                </c:pt>
                <c:pt idx="12">
                  <c:v>30.379945817554162</c:v>
                </c:pt>
                <c:pt idx="13">
                  <c:v>31.139444462993012</c:v>
                </c:pt>
                <c:pt idx="14">
                  <c:v>31.917930574567833</c:v>
                </c:pt>
                <c:pt idx="15">
                  <c:v>32.715878838932028</c:v>
                </c:pt>
                <c:pt idx="16">
                  <c:v>33.533775809905329</c:v>
                </c:pt>
                <c:pt idx="17">
                  <c:v>34.37212020515296</c:v>
                </c:pt>
                <c:pt idx="18">
                  <c:v>35.231423210281783</c:v>
                </c:pt>
                <c:pt idx="19">
                  <c:v>36.112208790538823</c:v>
                </c:pt>
                <c:pt idx="20">
                  <c:v>37.015014010302288</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0</c:v>
                </c:pt>
                <c:pt idx="1">
                  <c:v>9.5238095238095233E-2</c:v>
                </c:pt>
                <c:pt idx="2">
                  <c:v>0.19047619047619047</c:v>
                </c:pt>
                <c:pt idx="3">
                  <c:v>0.23809523809523808</c:v>
                </c:pt>
                <c:pt idx="4">
                  <c:v>0.23809523809523808</c:v>
                </c:pt>
                <c:pt idx="5">
                  <c:v>0.16666666666666666</c:v>
                </c:pt>
                <c:pt idx="6">
                  <c:v>7.1428571428571425E-2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delete val="1"/>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0.80952380952380953</c:v>
                </c:pt>
                <c:pt idx="1">
                  <c:v>9.5238095238095233E-2</c:v>
                </c:pt>
                <c:pt idx="2">
                  <c:v>4.7619047619047616E-2</c:v>
                </c:pt>
                <c:pt idx="3">
                  <c:v>2.3809523809523808E-2</c:v>
                </c:pt>
                <c:pt idx="4">
                  <c:v>2.3809523809523808E-2</c:v>
                </c:pt>
                <c:pt idx="5">
                  <c:v>0</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27.92</c:v>
                </c:pt>
                <c:pt idx="1">
                  <c:v>23.18</c:v>
                </c:pt>
                <c:pt idx="2">
                  <c:v>14.41</c:v>
                </c:pt>
                <c:pt idx="3">
                  <c:v>18.09</c:v>
                </c:pt>
                <c:pt idx="4">
                  <c:v>15.76</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0"/>
              <c:layout>
                <c:manualLayout>
                  <c:x val="-0.11294781334151421"/>
                  <c:y val="-0.1786611345414765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56-440B-AC96-5DBE775B7D57}"/>
                </c:ext>
              </c:extLst>
            </c:dLbl>
            <c:dLbl>
              <c:idx val="1"/>
              <c:layout>
                <c:manualLayout>
                  <c:x val="4.4994716569519796E-2"/>
                  <c:y val="0.2928469813212806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56-440B-AC96-5DBE775B7D57}"/>
                </c:ext>
              </c:extLst>
            </c:dLbl>
            <c:dLbl>
              <c:idx val="2"/>
              <c:layout>
                <c:manualLayout>
                  <c:x val="-0.11833998022974401"/>
                  <c:y val="5.74809638276740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2.8088761632068797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7.5628387360670832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delete val="1"/>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0.90400000000000003</c:v>
                </c:pt>
                <c:pt idx="1">
                  <c:v>4.8000000000000001E-2</c:v>
                </c:pt>
                <c:pt idx="2">
                  <c:v>2.4E-2</c:v>
                </c:pt>
                <c:pt idx="3">
                  <c:v>1.6E-2</c:v>
                </c:pt>
                <c:pt idx="4">
                  <c:v>8.0000000000000002E-3</c:v>
                </c:pt>
                <c:pt idx="5">
                  <c:v>0</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2-E07D-4DA9-8104-144E058B8686}"/>
              </c:ext>
            </c:extLst>
          </c:dPt>
          <c:dPt>
            <c:idx val="5"/>
            <c:invertIfNegative val="0"/>
            <c:bubble3D val="0"/>
            <c:spPr>
              <a:solidFill>
                <a:srgbClr val="003E51"/>
              </a:solidFill>
              <a:ln>
                <a:noFill/>
              </a:ln>
              <a:effectLst/>
            </c:spPr>
            <c:extLst>
              <c:ext xmlns:c16="http://schemas.microsoft.com/office/drawing/2014/chart" uri="{C3380CC4-5D6E-409C-BE32-E72D297353CC}">
                <c16:uniqueId val="{00000003-2170-4A79-8321-C85DCDDA101E}"/>
              </c:ext>
            </c:extLst>
          </c:dPt>
          <c:dLbls>
            <c:dLbl>
              <c:idx val="0"/>
              <c:layout>
                <c:manualLayout>
                  <c:x val="-1.7684682198765286E-2"/>
                  <c:y val="-1.1752000992018454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7D-4DA9-8104-144E058B8686}"/>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E07D-4DA9-8104-144E058B8686}"/>
                </c:ext>
              </c:extLst>
            </c:dLbl>
            <c:dLbl>
              <c:idx val="2"/>
              <c:layout>
                <c:manualLayout>
                  <c:x val="-0.14164459856650014"/>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0D-44BB-BF58-5C1002571F3E}"/>
                </c:ext>
              </c:extLst>
            </c:dLbl>
            <c:dLbl>
              <c:idx val="5"/>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71D7A0B1-56C1-42D4-95C0-1D4DBA7A7ECE}" type="VALUE">
                      <a:rPr lang="en-US" b="0" baseline="0">
                        <a:solidFill>
                          <a:schemeClr val="bg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170-4A79-8321-C85DCDDA10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Substitute</c:v>
                </c:pt>
                <c:pt idx="1">
                  <c:v>Tutor</c:v>
                </c:pt>
                <c:pt idx="2">
                  <c:v>Customer Service Representative</c:v>
                </c:pt>
                <c:pt idx="3">
                  <c:v>Kindergarten Teacher</c:v>
                </c:pt>
                <c:pt idx="4">
                  <c:v>Administrative Assistant</c:v>
                </c:pt>
                <c:pt idx="5">
                  <c:v>Self-Enrichment Teacher</c:v>
                </c:pt>
              </c:strCache>
            </c:strRef>
          </c:cat>
          <c:val>
            <c:numRef>
              <c:f>'5C'!$Z$29:$Z$34</c:f>
              <c:numCache>
                <c:formatCode>"$"#,##0.00</c:formatCode>
                <c:ptCount val="6"/>
                <c:pt idx="0">
                  <c:v>-0.79</c:v>
                </c:pt>
                <c:pt idx="1">
                  <c:v>-0.16</c:v>
                </c:pt>
                <c:pt idx="2" formatCode="_(&quot;$&quot;* #,##0.00_);_(&quot;$&quot;* \(#,##0.00\);_(&quot;$&quot;* &quot;-&quot;??_);_(@_)">
                  <c:v>2.66</c:v>
                </c:pt>
                <c:pt idx="3" formatCode="_(&quot;$&quot;* #,##0.00_);_(&quot;$&quot;* \(#,##0.00\);_(&quot;$&quot;* &quot;-&quot;??_);_(@_)">
                  <c:v>4.63</c:v>
                </c:pt>
                <c:pt idx="4" formatCode="_(&quot;$&quot;* #,##0.00_);_(&quot;$&quot;* \(#,##0.00\);_(&quot;$&quot;* &quot;-&quot;??_);_(@_)">
                  <c:v>4.95</c:v>
                </c:pt>
                <c:pt idx="5" formatCode="_(&quot;$&quot;* #,##0.00_);_(&quot;$&quot;* \(#,##0.00\);_(&quot;$&quot;* &quot;-&quot;??_);_(@_)">
                  <c:v>7.14</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3a</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0.112</c:v>
                </c:pt>
                <c:pt idx="2">
                  <c:v>0.216</c:v>
                </c:pt>
                <c:pt idx="3">
                  <c:v>0.28799999999999998</c:v>
                </c:pt>
                <c:pt idx="4">
                  <c:v>0.40799999999999997</c:v>
                </c:pt>
                <c:pt idx="5">
                  <c:v>0.35199999999999998</c:v>
                </c:pt>
                <c:pt idx="6">
                  <c:v>0.184</c:v>
                </c:pt>
                <c:pt idx="7">
                  <c:v>0.27200000000000002</c:v>
                </c:pt>
                <c:pt idx="8">
                  <c:v>0.25600000000000001</c:v>
                </c:pt>
                <c:pt idx="9">
                  <c:v>0.36</c:v>
                </c:pt>
                <c:pt idx="10">
                  <c:v>0.4</c:v>
                </c:pt>
                <c:pt idx="11">
                  <c:v>0.56000000000000005</c:v>
                </c:pt>
                <c:pt idx="12">
                  <c:v>0.57599999999999996</c:v>
                </c:pt>
                <c:pt idx="13">
                  <c:v>0.54400000000000004</c:v>
                </c:pt>
                <c:pt idx="14">
                  <c:v>0.51200000000000001</c:v>
                </c:pt>
                <c:pt idx="15">
                  <c:v>0.32800000000000001</c:v>
                </c:pt>
                <c:pt idx="16">
                  <c:v>-0.32</c:v>
                </c:pt>
                <c:pt idx="17">
                  <c:v>-0.48</c:v>
                </c:pt>
                <c:pt idx="18">
                  <c:v>-0.57599999999999996</c:v>
                </c:pt>
                <c:pt idx="19">
                  <c:v>-0.73599999999999999</c:v>
                </c:pt>
                <c:pt idx="20">
                  <c:v>-0.71199999999999997</c:v>
                </c:pt>
                <c:pt idx="21">
                  <c:v>-0.66400000000000003</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3a</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1.2358229598893498</c:v>
                </c:pt>
                <c:pt idx="2">
                  <c:v>1.3333333333333333</c:v>
                </c:pt>
                <c:pt idx="3">
                  <c:v>1.1929460580912863</c:v>
                </c:pt>
                <c:pt idx="4">
                  <c:v>0.7116182572614107</c:v>
                </c:pt>
                <c:pt idx="5">
                  <c:v>0.73029045643153512</c:v>
                </c:pt>
                <c:pt idx="6">
                  <c:v>0.72821576763485452</c:v>
                </c:pt>
                <c:pt idx="7">
                  <c:v>-0.27316735822959898</c:v>
                </c:pt>
                <c:pt idx="8">
                  <c:v>-0.26141078838174281</c:v>
                </c:pt>
                <c:pt idx="9">
                  <c:v>-0.41632088520055333</c:v>
                </c:pt>
                <c:pt idx="10">
                  <c:v>-0.35062240663900412</c:v>
                </c:pt>
                <c:pt idx="11">
                  <c:v>-0.35615491009681882</c:v>
                </c:pt>
                <c:pt idx="12">
                  <c:v>-0.35408022130013839</c:v>
                </c:pt>
                <c:pt idx="13">
                  <c:v>-0.31189488243430163</c:v>
                </c:pt>
                <c:pt idx="14">
                  <c:v>-0.11894882434301525</c:v>
                </c:pt>
                <c:pt idx="15">
                  <c:v>-0.1099585062240665</c:v>
                </c:pt>
                <c:pt idx="16">
                  <c:v>-6.5698478561549173E-2</c:v>
                </c:pt>
                <c:pt idx="17">
                  <c:v>-5.4633471645919841E-2</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0.16297700000000001</c:v>
                </c:pt>
                <c:pt idx="1">
                  <c:v>0.12797</c:v>
                </c:pt>
                <c:pt idx="2">
                  <c:v>8.9389999999999997E-2</c:v>
                </c:pt>
                <c:pt idx="3">
                  <c:v>6.3600000000000004E-2</c:v>
                </c:pt>
                <c:pt idx="4">
                  <c:v>6.3299999999999995E-2</c:v>
                </c:pt>
                <c:pt idx="5">
                  <c:v>6.0600000000000001E-2</c:v>
                </c:pt>
                <c:pt idx="6">
                  <c:v>5.8700000000000002E-2</c:v>
                </c:pt>
                <c:pt idx="7">
                  <c:v>5.6599999999999998E-2</c:v>
                </c:pt>
                <c:pt idx="8">
                  <c:v>5.1299999999999998E-2</c:v>
                </c:pt>
                <c:pt idx="9">
                  <c:v>5.0880000000000002E-2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0.17299999999999999</c:v>
                </c:pt>
                <c:pt idx="1">
                  <c:v>0.1477</c:v>
                </c:pt>
                <c:pt idx="2">
                  <c:v>0.1409</c:v>
                </c:pt>
                <c:pt idx="3">
                  <c:v>0.1331</c:v>
                </c:pt>
                <c:pt idx="4">
                  <c:v>0.13009999999999999</c:v>
                </c:pt>
                <c:pt idx="5">
                  <c:v>6.0999999999999999E-2</c:v>
                </c:pt>
                <c:pt idx="6">
                  <c:v>5.8000000000000003E-2</c:v>
                </c:pt>
                <c:pt idx="7">
                  <c:v>5.57E-2</c:v>
                </c:pt>
                <c:pt idx="8">
                  <c:v>5.0200000000000002E-2</c:v>
                </c:pt>
                <c:pt idx="9">
                  <c:v>4.8899999999999999E-2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0</c:v>
                </c:pt>
                <c:pt idx="1">
                  <c:v>1</c:v>
                </c:pt>
                <c:pt idx="2">
                  <c:v>7</c:v>
                </c:pt>
                <c:pt idx="3">
                  <c:v>1</c:v>
                </c:pt>
                <c:pt idx="4">
                  <c:v>0</c:v>
                </c:pt>
                <c:pt idx="5">
                  <c:v>1</c:v>
                </c:pt>
                <c:pt idx="6">
                  <c:v>0</c:v>
                </c:pt>
                <c:pt idx="7">
                  <c:v>5</c:v>
                </c:pt>
                <c:pt idx="8">
                  <c:v>0</c:v>
                </c:pt>
                <c:pt idx="9">
                  <c:v>1</c:v>
                </c:pt>
                <c:pt idx="10">
                  <c:v>0</c:v>
                </c:pt>
                <c:pt idx="11">
                  <c:v>0</c:v>
                </c:pt>
                <c:pt idx="12">
                  <c:v>1</c:v>
                </c:pt>
                <c:pt idx="13">
                  <c:v>0</c:v>
                </c:pt>
                <c:pt idx="14">
                  <c:v>1</c:v>
                </c:pt>
                <c:pt idx="15">
                  <c:v>0</c:v>
                </c:pt>
                <c:pt idx="16">
                  <c:v>0</c:v>
                </c:pt>
                <c:pt idx="17">
                  <c:v>0</c:v>
                </c:pt>
                <c:pt idx="18">
                  <c:v>0</c:v>
                </c:pt>
                <c:pt idx="19">
                  <c:v>0</c:v>
                </c:pt>
                <c:pt idx="20">
                  <c:v>0</c:v>
                </c:pt>
                <c:pt idx="21">
                  <c:v>0</c:v>
                </c:pt>
                <c:pt idx="22">
                  <c:v>0</c:v>
                </c:pt>
                <c:pt idx="23">
                  <c:v>0</c:v>
                </c:pt>
                <c:pt idx="24">
                  <c:v>0</c:v>
                </c:pt>
                <c:pt idx="25">
                  <c:v>2</c:v>
                </c:pt>
                <c:pt idx="26">
                  <c:v>0</c:v>
                </c:pt>
                <c:pt idx="27">
                  <c:v>0</c:v>
                </c:pt>
                <c:pt idx="28">
                  <c:v>0</c:v>
                </c:pt>
                <c:pt idx="29">
                  <c:v>0</c:v>
                </c:pt>
                <c:pt idx="30">
                  <c:v>0</c:v>
                </c:pt>
                <c:pt idx="31">
                  <c:v>1</c:v>
                </c:pt>
                <c:pt idx="32">
                  <c:v>0</c:v>
                </c:pt>
                <c:pt idx="33">
                  <c:v>0</c:v>
                </c:pt>
                <c:pt idx="34">
                  <c:v>0</c:v>
                </c:pt>
                <c:pt idx="35">
                  <c:v>1</c:v>
                </c:pt>
                <c:pt idx="36">
                  <c:v>5</c:v>
                </c:pt>
                <c:pt idx="37">
                  <c:v>4</c:v>
                </c:pt>
                <c:pt idx="38">
                  <c:v>2</c:v>
                </c:pt>
                <c:pt idx="39">
                  <c:v>0</c:v>
                </c:pt>
                <c:pt idx="40">
                  <c:v>2</c:v>
                </c:pt>
                <c:pt idx="41">
                  <c:v>0</c:v>
                </c:pt>
                <c:pt idx="42">
                  <c:v>0</c:v>
                </c:pt>
                <c:pt idx="43">
                  <c:v>0</c:v>
                </c:pt>
                <c:pt idx="44">
                  <c:v>0</c:v>
                </c:pt>
                <c:pt idx="45">
                  <c:v>0</c:v>
                </c:pt>
                <c:pt idx="46">
                  <c:v>0</c:v>
                </c:pt>
                <c:pt idx="47">
                  <c:v>0</c:v>
                </c:pt>
                <c:pt idx="48">
                  <c:v>0</c:v>
                </c:pt>
                <c:pt idx="49">
                  <c:v>3</c:v>
                </c:pt>
                <c:pt idx="50">
                  <c:v>0</c:v>
                </c:pt>
                <c:pt idx="51">
                  <c:v>1</c:v>
                </c:pt>
                <c:pt idx="52">
                  <c:v>0</c:v>
                </c:pt>
                <c:pt idx="53">
                  <c:v>0</c:v>
                </c:pt>
                <c:pt idx="54">
                  <c:v>0</c:v>
                </c:pt>
                <c:pt idx="55">
                  <c:v>1</c:v>
                </c:pt>
                <c:pt idx="56">
                  <c:v>1</c:v>
                </c:pt>
                <c:pt idx="57">
                  <c:v>0</c:v>
                </c:pt>
                <c:pt idx="58">
                  <c:v>0</c:v>
                </c:pt>
                <c:pt idx="59">
                  <c:v>0</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
                <c:pt idx="0">
                  <c:v>Ess</c:v>
                </c:pt>
              </c:strCache>
            </c:strRef>
          </c:cat>
          <c:val>
            <c:numRef>
              <c:f>'5F'!$G$5:$G$14</c:f>
              <c:numCache>
                <c:formatCode>#,##0</c:formatCode>
                <c:ptCount val="10"/>
                <c:pt idx="0">
                  <c:v>3</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27.92</c:v>
                </c:pt>
                <c:pt idx="1">
                  <c:v>23.18</c:v>
                </c:pt>
                <c:pt idx="2">
                  <c:v>16.95</c:v>
                </c:pt>
                <c:pt idx="3">
                  <c:v>19.55</c:v>
                </c:pt>
                <c:pt idx="4">
                  <c:v>17.739999999999998</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F232-45BA-8CB5-30A1DB080FD8}"/>
              </c:ext>
            </c:extLst>
          </c:dPt>
          <c:dLbls>
            <c:dLbl>
              <c:idx val="4"/>
              <c:layout>
                <c:manualLayout>
                  <c:x val="-0.1477604402176918"/>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32-45BA-8CB5-30A1DB080F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'2C'!$Y$28:$Y$34</c:f>
              <c:strCache>
                <c:ptCount val="6"/>
                <c:pt idx="0">
                  <c:v>Kindergarten Teacher</c:v>
                </c:pt>
                <c:pt idx="1">
                  <c:v>Lead Teacher</c:v>
                </c:pt>
                <c:pt idx="2">
                  <c:v>Office Clerk</c:v>
                </c:pt>
                <c:pt idx="3">
                  <c:v>Bank Teller</c:v>
                </c:pt>
                <c:pt idx="4">
                  <c:v>Self-Enrichment Teacher</c:v>
                </c:pt>
                <c:pt idx="5">
                  <c:v>Psychiatric Aide</c:v>
                </c:pt>
              </c:strCache>
            </c:strRef>
          </c:cat>
          <c:val>
            <c:numRef>
              <c:f>'2C'!$Z$28:$Z$34</c:f>
              <c:numCache>
                <c:formatCode>"$"#,##0.00</c:formatCode>
                <c:ptCount val="7"/>
                <c:pt idx="0">
                  <c:v>4.63</c:v>
                </c:pt>
                <c:pt idx="1">
                  <c:v>5.91</c:v>
                </c:pt>
                <c:pt idx="2">
                  <c:v>6.2999999999999989</c:v>
                </c:pt>
                <c:pt idx="3">
                  <c:v>6.51</c:v>
                </c:pt>
                <c:pt idx="4">
                  <c:v>7.1400000000000006</c:v>
                </c:pt>
                <c:pt idx="5">
                  <c:v>7.3600000000000012</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3a</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-3.6885245901639344E-2</c:v>
                </c:pt>
                <c:pt idx="2">
                  <c:v>-0.12295081967213115</c:v>
                </c:pt>
                <c:pt idx="3">
                  <c:v>-9.8360655737704916E-2</c:v>
                </c:pt>
                <c:pt idx="4">
                  <c:v>-6.9672131147540978E-2</c:v>
                </c:pt>
                <c:pt idx="5">
                  <c:v>2.4590163934426229E-2</c:v>
                </c:pt>
                <c:pt idx="6">
                  <c:v>-4.9180327868852458E-2</c:v>
                </c:pt>
                <c:pt idx="7">
                  <c:v>-4.0983606557377051E-3</c:v>
                </c:pt>
                <c:pt idx="8">
                  <c:v>-2.4590163934426229E-2</c:v>
                </c:pt>
                <c:pt idx="9">
                  <c:v>-0.18032786885245902</c:v>
                </c:pt>
                <c:pt idx="10">
                  <c:v>-0.30327868852459017</c:v>
                </c:pt>
                <c:pt idx="11">
                  <c:v>-0.28688524590163933</c:v>
                </c:pt>
                <c:pt idx="12">
                  <c:v>-0.29098360655737704</c:v>
                </c:pt>
                <c:pt idx="13">
                  <c:v>-0.32786885245901637</c:v>
                </c:pt>
                <c:pt idx="14">
                  <c:v>-0.25</c:v>
                </c:pt>
                <c:pt idx="15">
                  <c:v>-0.21721311475409835</c:v>
                </c:pt>
                <c:pt idx="16">
                  <c:v>-0.19672131147540983</c:v>
                </c:pt>
                <c:pt idx="17">
                  <c:v>-0.40573770491803279</c:v>
                </c:pt>
                <c:pt idx="18">
                  <c:v>-0.38524590163934425</c:v>
                </c:pt>
                <c:pt idx="19">
                  <c:v>-0.49180327868852458</c:v>
                </c:pt>
                <c:pt idx="20">
                  <c:v>-0.46311475409836067</c:v>
                </c:pt>
                <c:pt idx="21">
                  <c:v>-0.48770491803278687</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588FC110-9230-4B7B-8366-F1B990F5B291}"/>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0A261208-8E39-4969-BD53-162CC11EAC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3a</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3a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104775</xdr:colOff>
      <xdr:row>4</xdr:row>
      <xdr:rowOff>28576</xdr:rowOff>
    </xdr:from>
    <xdr:to>
      <xdr:col>7</xdr:col>
      <xdr:colOff>85725</xdr:colOff>
      <xdr:row>7</xdr:row>
      <xdr:rowOff>28575</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104775" y="876301"/>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3a, because there are too few Lead Teacher jobs in the area.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89535</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953626" cy="4981575"/>
          <a:chOff x="2571749" y="704319"/>
          <a:chExt cx="9886887"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114547" y="3729957"/>
            <a:ext cx="9344089" cy="680630"/>
            <a:chOff x="3114547" y="3729957"/>
            <a:chExt cx="9344089"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114547" y="4118465"/>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896537" y="372995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333375</xdr:colOff>
      <xdr:row>26</xdr:row>
      <xdr:rowOff>123825</xdr:rowOff>
    </xdr:from>
    <xdr:to>
      <xdr:col>32</xdr:col>
      <xdr:colOff>2152650</xdr:colOff>
      <xdr:row>53</xdr:row>
      <xdr:rowOff>104775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87425" y="5181600"/>
          <a:ext cx="9772650" cy="4943475"/>
          <a:chOff x="2590671" y="738014"/>
          <a:chExt cx="9707125"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90671" y="738014"/>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114547" y="3672610"/>
            <a:ext cx="9183249" cy="680630"/>
            <a:chOff x="3114547" y="3672610"/>
            <a:chExt cx="9183249"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114547" y="3966397"/>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735697" y="367261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3a,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3a,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3a,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3a,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92.2%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7.8%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06150" y="519112"/>
          <a:ext cx="6774364"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3a,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2" y="2585124"/>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9" y="2565738"/>
                <a:ext cx="2832077"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$13.49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1" y="2145857"/>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3" y="2112490"/>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$18.67</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7" y="1786945"/>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6" y="1295573"/>
            <a:ext cx="2720117"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$20.54</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102116</xdr:colOff>
      <xdr:row>26</xdr:row>
      <xdr:rowOff>168126</xdr:rowOff>
    </xdr:from>
    <xdr:to>
      <xdr:col>28</xdr:col>
      <xdr:colOff>168791</xdr:colOff>
      <xdr:row>37</xdr:row>
      <xdr:rowOff>35441</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123166" y="5606901"/>
          <a:ext cx="2924175" cy="2000915"/>
          <a:chOff x="0" y="61912"/>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3a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333375</xdr:colOff>
      <xdr:row>1</xdr:row>
      <xdr:rowOff>133349</xdr:rowOff>
    </xdr:from>
    <xdr:to>
      <xdr:col>34</xdr:col>
      <xdr:colOff>1752600</xdr:colOff>
      <xdr:row>25</xdr:row>
      <xdr:rowOff>9524</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352425</xdr:colOff>
      <xdr:row>25</xdr:row>
      <xdr:rowOff>165735</xdr:rowOff>
    </xdr:from>
    <xdr:to>
      <xdr:col>34</xdr:col>
      <xdr:colOff>1771650</xdr:colOff>
      <xdr:row>48</xdr:row>
      <xdr:rowOff>26670</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3a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3a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76200</xdr:colOff>
      <xdr:row>4</xdr:row>
      <xdr:rowOff>47625</xdr:rowOff>
    </xdr:from>
    <xdr:to>
      <xdr:col>9</xdr:col>
      <xdr:colOff>409575</xdr:colOff>
      <xdr:row>7</xdr:row>
      <xdr:rowOff>47624</xdr:rowOff>
    </xdr:to>
    <xdr:sp macro="" textlink="">
      <xdr:nvSpPr>
        <xdr:cNvPr id="5" name="TextBox 4">
          <a:extLst>
            <a:ext uri="{FF2B5EF4-FFF2-40B4-BE49-F238E27FC236}">
              <a16:creationId xmlns:a16="http://schemas.microsoft.com/office/drawing/2014/main" id="{9A541AAD-AFDB-474A-9AA1-5266A3F4ABBE}"/>
            </a:ext>
          </a:extLst>
        </xdr:cNvPr>
        <xdr:cNvSpPr txBox="1"/>
      </xdr:nvSpPr>
      <xdr:spPr>
        <a:xfrm>
          <a:off x="714375" y="885825"/>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3a, because there are too few Assistant Teacher jobs in the area.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20</xdr:col>
      <xdr:colOff>38099</xdr:colOff>
      <xdr:row>0</xdr:row>
      <xdr:rowOff>205740</xdr:rowOff>
    </xdr:from>
    <xdr:to>
      <xdr:col>33</xdr:col>
      <xdr:colOff>171451</xdr:colOff>
      <xdr:row>25</xdr:row>
      <xdr:rowOff>152400</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868399" y="205740"/>
          <a:ext cx="9886952" cy="4947285"/>
          <a:chOff x="2571749" y="704319"/>
          <a:chExt cx="9820660"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142930" y="2901200"/>
            <a:ext cx="9249479" cy="680630"/>
            <a:chOff x="3142930" y="2901200"/>
            <a:chExt cx="9249479"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142930" y="3144765"/>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830310" y="290120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323850</xdr:colOff>
      <xdr:row>27</xdr:row>
      <xdr:rowOff>1</xdr:rowOff>
    </xdr:from>
    <xdr:to>
      <xdr:col>33</xdr:col>
      <xdr:colOff>66676</xdr:colOff>
      <xdr:row>53</xdr:row>
      <xdr:rowOff>152401</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16000" y="5372101"/>
          <a:ext cx="9934576" cy="4933950"/>
          <a:chOff x="-134118" y="906882"/>
          <a:chExt cx="9867901"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134118" y="906882"/>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427602" y="3152902"/>
            <a:ext cx="9306181" cy="680630"/>
            <a:chOff x="427602" y="3152902"/>
            <a:chExt cx="9306181"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427602" y="3364258"/>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8171684" y="315290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3a,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3a, 2022</a:t>
            </a:r>
          </a:p>
        </xdr:txBody>
      </xdr:sp>
    </xdr:grpSp>
    <xdr:clientData/>
  </xdr:twoCellAnchor>
  <xdr:twoCellAnchor>
    <xdr:from>
      <xdr:col>8</xdr:col>
      <xdr:colOff>409575</xdr:colOff>
      <xdr:row>13</xdr:row>
      <xdr:rowOff>142875</xdr:rowOff>
    </xdr:from>
    <xdr:to>
      <xdr:col>10</xdr:col>
      <xdr:colOff>247650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5332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3a,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3a,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94.6%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5.4%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34888</xdr:rowOff>
    </xdr:from>
    <xdr:to>
      <xdr:col>26</xdr:col>
      <xdr:colOff>476250</xdr:colOff>
      <xdr:row>14</xdr:row>
      <xdr:rowOff>139663</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520663"/>
          <a:ext cx="7048500" cy="2743200"/>
          <a:chOff x="11020425" y="509587"/>
          <a:chExt cx="7096125"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96125" cy="2743200"/>
            <a:chOff x="11182350" y="500062"/>
            <a:chExt cx="11073693"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73693" cy="3252788"/>
              <a:chOff x="8410575" y="538162"/>
              <a:chExt cx="1109476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3a,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3" y="2381044"/>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59" y="2393677"/>
                <a:ext cx="2469984"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$12.88</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2" y="2209359"/>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785727" y="1973421"/>
              <a:ext cx="2423319"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$14.00</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659716"/>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1170377"/>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$15.40</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132021</xdr:colOff>
      <xdr:row>26</xdr:row>
      <xdr:rowOff>196480</xdr:rowOff>
    </xdr:from>
    <xdr:to>
      <xdr:col>28</xdr:col>
      <xdr:colOff>198696</xdr:colOff>
      <xdr:row>37</xdr:row>
      <xdr:rowOff>63794</xdr:rowOff>
    </xdr:to>
    <xdr:grpSp>
      <xdr:nvGrpSpPr>
        <xdr:cNvPr id="17" name="Group 16">
          <a:extLst>
            <a:ext uri="{FF2B5EF4-FFF2-40B4-BE49-F238E27FC236}">
              <a16:creationId xmlns:a16="http://schemas.microsoft.com/office/drawing/2014/main" id="{B9F6CFC2-C6DE-4623-861A-86F14DCA2E19}"/>
            </a:ext>
            <a:ext uri="{147F2762-F138-4A5C-976F-8EAC2B608ADB}">
              <a16:predDERef xmlns:a16="http://schemas.microsoft.com/office/drawing/2014/main" pred="{2A4356C0-B784-66B7-F07E-73DC851B16B2}"/>
            </a:ext>
          </a:extLst>
        </xdr:cNvPr>
        <xdr:cNvGrpSpPr/>
      </xdr:nvGrpSpPr>
      <xdr:grpSpPr>
        <a:xfrm>
          <a:off x="16086396" y="5635255"/>
          <a:ext cx="2924175" cy="2000914"/>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3a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5721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3a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3a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219075</xdr:colOff>
      <xdr:row>7</xdr:row>
      <xdr:rowOff>47625</xdr:rowOff>
    </xdr:from>
    <xdr:to>
      <xdr:col>10</xdr:col>
      <xdr:colOff>95250</xdr:colOff>
      <xdr:row>10</xdr:row>
      <xdr:rowOff>47624</xdr:rowOff>
    </xdr:to>
    <xdr:sp macro="" textlink="">
      <xdr:nvSpPr>
        <xdr:cNvPr id="5" name="TextBox 4">
          <a:extLst>
            <a:ext uri="{FF2B5EF4-FFF2-40B4-BE49-F238E27FC236}">
              <a16:creationId xmlns:a16="http://schemas.microsoft.com/office/drawing/2014/main" id="{AE4A0897-DE70-4255-A6BC-A568E4E2FD7E}"/>
            </a:ext>
          </a:extLst>
        </xdr:cNvPr>
        <xdr:cNvSpPr txBox="1"/>
      </xdr:nvSpPr>
      <xdr:spPr>
        <a:xfrm>
          <a:off x="1266825" y="142875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3a, because there are too few Aide/Floaters jobs in the area.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224789</xdr:colOff>
      <xdr:row>0</xdr:row>
      <xdr:rowOff>154305</xdr:rowOff>
    </xdr:from>
    <xdr:to>
      <xdr:col>32</xdr:col>
      <xdr:colOff>2196465</xdr:colOff>
      <xdr:row>26</xdr:row>
      <xdr:rowOff>78105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816964" y="154305"/>
          <a:ext cx="9944101" cy="4991100"/>
          <a:chOff x="2571749" y="704319"/>
          <a:chExt cx="9858540"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105068" y="3459592"/>
            <a:ext cx="9325221" cy="680630"/>
            <a:chOff x="3105068" y="3459592"/>
            <a:chExt cx="9325221"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105068" y="3823585"/>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68190" y="345959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209550</xdr:colOff>
      <xdr:row>27</xdr:row>
      <xdr:rowOff>19050</xdr:rowOff>
    </xdr:from>
    <xdr:to>
      <xdr:col>32</xdr:col>
      <xdr:colOff>2219326</xdr:colOff>
      <xdr:row>53</xdr:row>
      <xdr:rowOff>171450</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801725" y="5276850"/>
          <a:ext cx="9982201" cy="4933950"/>
          <a:chOff x="2571749" y="704319"/>
          <a:chExt cx="9896230"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095625" y="2986803"/>
            <a:ext cx="9372354" cy="680630"/>
            <a:chOff x="3095625" y="2986803"/>
            <a:chExt cx="9372354"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095625" y="3231919"/>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905880" y="298680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3a,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3a,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3a</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3a,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73.8%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26.2%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802939"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3a,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0" y="2562467"/>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7" y="2543081"/>
                <a:ext cx="2832079"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$13.67</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2146489"/>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3" y="2134507"/>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$18.67</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7" y="1809017"/>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7" y="1306281"/>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$20.54</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194372</xdr:colOff>
      <xdr:row>26</xdr:row>
      <xdr:rowOff>114195</xdr:rowOff>
    </xdr:from>
    <xdr:to>
      <xdr:col>28</xdr:col>
      <xdr:colOff>261047</xdr:colOff>
      <xdr:row>36</xdr:row>
      <xdr:rowOff>169461</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243997" y="5552970"/>
          <a:ext cx="2924175" cy="1998366"/>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3a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459263</xdr:colOff>
      <xdr:row>17</xdr:row>
      <xdr:rowOff>167639</xdr:rowOff>
    </xdr:from>
    <xdr:to>
      <xdr:col>16</xdr:col>
      <xdr:colOff>312420</xdr:colOff>
      <xdr:row>40</xdr:row>
      <xdr:rowOff>59054</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316763" y="3672839"/>
          <a:ext cx="10721182" cy="4272915"/>
          <a:chOff x="3571287" y="3562362"/>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571287" y="3562362"/>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3a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9835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3a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857250</xdr:colOff>
      <xdr:row>7</xdr:row>
      <xdr:rowOff>104775</xdr:rowOff>
    </xdr:from>
    <xdr:to>
      <xdr:col>8</xdr:col>
      <xdr:colOff>276225</xdr:colOff>
      <xdr:row>10</xdr:row>
      <xdr:rowOff>104774</xdr:rowOff>
    </xdr:to>
    <xdr:sp macro="" textlink="">
      <xdr:nvSpPr>
        <xdr:cNvPr id="5" name="TextBox 4">
          <a:extLst>
            <a:ext uri="{FF2B5EF4-FFF2-40B4-BE49-F238E27FC236}">
              <a16:creationId xmlns:a16="http://schemas.microsoft.com/office/drawing/2014/main" id="{4BECB1CF-4687-4DC6-8F51-66AA10DFB02E}"/>
            </a:ext>
          </a:extLst>
        </xdr:cNvPr>
        <xdr:cNvSpPr txBox="1"/>
      </xdr:nvSpPr>
      <xdr:spPr>
        <a:xfrm>
          <a:off x="857250" y="148590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3a, because there are too few Substitute jobs in the area.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33</xdr:col>
      <xdr:colOff>5290</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9970770" cy="4984538"/>
          <a:chOff x="2571749" y="704319"/>
          <a:chExt cx="9848500"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104916" y="4281514"/>
            <a:ext cx="9315333" cy="680630"/>
            <a:chOff x="3104916" y="4281514"/>
            <a:chExt cx="9315333"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104916" y="455066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858150" y="4281514"/>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32</xdr:col>
      <xdr:colOff>2192656</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906001" cy="4914053"/>
          <a:chOff x="2571749" y="704319"/>
          <a:chExt cx="9763946"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086100" y="3120456"/>
            <a:ext cx="9249595" cy="680630"/>
            <a:chOff x="3086100" y="3120456"/>
            <a:chExt cx="9249595"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086100" y="341799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773596" y="312045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$25.26</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0350"/>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3a,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48919"/>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3a,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72375" y="2809875"/>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3a,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52600"/>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3a,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98.2%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1.8%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410578"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3a,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1923753"/>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1923074"/>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$15.19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2" y="1305652"/>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292704"/>
              <a:ext cx="1986372" cy="50328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$24.89</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902448"/>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424338"/>
            <a:ext cx="1901795" cy="513372"/>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$27.38</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388665</xdr:colOff>
      <xdr:row>25</xdr:row>
      <xdr:rowOff>27881</xdr:rowOff>
    </xdr:from>
    <xdr:to>
      <xdr:col>28</xdr:col>
      <xdr:colOff>455340</xdr:colOff>
      <xdr:row>35</xdr:row>
      <xdr:rowOff>62494</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409715" y="5276156"/>
          <a:ext cx="2924175" cy="1996763"/>
          <a:chOff x="3197" y="8329"/>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3197" y="8329"/>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3a</a:t>
            </a:r>
            <a:endParaRPr lang="en-US" sz="1100" u="sng"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u="none"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u="none"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topLeftCell="A34" workbookViewId="0">
      <selection activeCell="G45" sqref="G45"/>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30" t="s">
        <v>0</v>
      </c>
      <c r="B1" s="230"/>
      <c r="C1" s="230"/>
    </row>
    <row r="2" spans="1:3" ht="56.25" customHeight="1" x14ac:dyDescent="0.2">
      <c r="A2" s="231" t="s">
        <v>1</v>
      </c>
      <c r="B2" s="232"/>
      <c r="C2" s="232"/>
    </row>
    <row r="3" spans="1:3" x14ac:dyDescent="0.2">
      <c r="A3" s="236" t="s">
        <v>2</v>
      </c>
      <c r="B3" s="237"/>
      <c r="C3" s="237"/>
    </row>
    <row r="4" spans="1:3" x14ac:dyDescent="0.2">
      <c r="A4" s="8"/>
      <c r="B4" s="9"/>
      <c r="C4" s="9"/>
    </row>
    <row r="5" spans="1:3" x14ac:dyDescent="0.2">
      <c r="A5" s="233" t="s">
        <v>3</v>
      </c>
      <c r="B5" s="233"/>
      <c r="C5" s="233"/>
    </row>
    <row r="6" spans="1:3" x14ac:dyDescent="0.2">
      <c r="A6" s="234" t="s">
        <v>4</v>
      </c>
      <c r="B6" s="234"/>
      <c r="C6" s="234"/>
    </row>
    <row r="7" spans="1:3" x14ac:dyDescent="0.2">
      <c r="A7" s="234"/>
      <c r="B7" s="234"/>
      <c r="C7" s="234"/>
    </row>
    <row r="8" spans="1:3" x14ac:dyDescent="0.2">
      <c r="A8" s="235" t="s">
        <v>5</v>
      </c>
      <c r="B8" s="2" t="s">
        <v>6</v>
      </c>
      <c r="C8" s="3" t="s">
        <v>7</v>
      </c>
    </row>
    <row r="9" spans="1:3" x14ac:dyDescent="0.2">
      <c r="A9" s="235"/>
      <c r="B9" s="2" t="s">
        <v>8</v>
      </c>
      <c r="C9" s="3" t="s">
        <v>9</v>
      </c>
    </row>
    <row r="10" spans="1:3" x14ac:dyDescent="0.2">
      <c r="A10" s="4"/>
      <c r="B10" s="5"/>
      <c r="C10" s="4"/>
    </row>
    <row r="11" spans="1:3" ht="14.25" customHeight="1" x14ac:dyDescent="0.2">
      <c r="A11" s="226" t="s">
        <v>10</v>
      </c>
      <c r="B11" s="7" t="s">
        <v>6</v>
      </c>
      <c r="C11" s="6" t="s">
        <v>11</v>
      </c>
    </row>
    <row r="12" spans="1:3" x14ac:dyDescent="0.2">
      <c r="A12" s="226"/>
      <c r="B12" s="7" t="s">
        <v>8</v>
      </c>
      <c r="C12" s="6" t="s">
        <v>12</v>
      </c>
    </row>
    <row r="13" spans="1:3" x14ac:dyDescent="0.2">
      <c r="A13" s="226"/>
      <c r="B13" s="7" t="s">
        <v>13</v>
      </c>
      <c r="C13" s="6" t="s">
        <v>14</v>
      </c>
    </row>
    <row r="14" spans="1:3" x14ac:dyDescent="0.2">
      <c r="A14" s="226"/>
      <c r="B14" s="7" t="s">
        <v>15</v>
      </c>
      <c r="C14" s="6" t="s">
        <v>16</v>
      </c>
    </row>
    <row r="15" spans="1:3" x14ac:dyDescent="0.2">
      <c r="A15" s="226"/>
      <c r="B15" s="7" t="s">
        <v>17</v>
      </c>
      <c r="C15" s="6" t="s">
        <v>18</v>
      </c>
    </row>
    <row r="16" spans="1:3" x14ac:dyDescent="0.2">
      <c r="A16" s="226"/>
      <c r="B16" s="7" t="s">
        <v>19</v>
      </c>
      <c r="C16" s="6" t="s">
        <v>20</v>
      </c>
    </row>
    <row r="17" spans="1:3" x14ac:dyDescent="0.2">
      <c r="A17" s="30"/>
      <c r="B17" s="7" t="s">
        <v>21</v>
      </c>
      <c r="C17" s="6" t="s">
        <v>22</v>
      </c>
    </row>
    <row r="18" spans="1:3" x14ac:dyDescent="0.2">
      <c r="A18" s="4"/>
      <c r="B18" s="5"/>
      <c r="C18" s="4"/>
    </row>
    <row r="19" spans="1:3" x14ac:dyDescent="0.2">
      <c r="A19" s="227" t="s">
        <v>23</v>
      </c>
      <c r="B19" s="26" t="s">
        <v>6</v>
      </c>
      <c r="C19" s="6" t="s">
        <v>11</v>
      </c>
    </row>
    <row r="20" spans="1:3" x14ac:dyDescent="0.2">
      <c r="A20" s="227"/>
      <c r="B20" s="26" t="s">
        <v>8</v>
      </c>
      <c r="C20" s="6" t="s">
        <v>12</v>
      </c>
    </row>
    <row r="21" spans="1:3" x14ac:dyDescent="0.2">
      <c r="A21" s="227"/>
      <c r="B21" s="26" t="s">
        <v>13</v>
      </c>
      <c r="C21" s="6" t="s">
        <v>14</v>
      </c>
    </row>
    <row r="22" spans="1:3" x14ac:dyDescent="0.2">
      <c r="A22" s="227"/>
      <c r="B22" s="26" t="s">
        <v>15</v>
      </c>
      <c r="C22" s="6" t="s">
        <v>16</v>
      </c>
    </row>
    <row r="23" spans="1:3" x14ac:dyDescent="0.2">
      <c r="A23" s="227"/>
      <c r="B23" s="26" t="s">
        <v>17</v>
      </c>
      <c r="C23" s="6" t="s">
        <v>18</v>
      </c>
    </row>
    <row r="24" spans="1:3" x14ac:dyDescent="0.2">
      <c r="A24" s="227"/>
      <c r="B24" s="26" t="s">
        <v>19</v>
      </c>
      <c r="C24" s="6" t="s">
        <v>20</v>
      </c>
    </row>
    <row r="25" spans="1:3" x14ac:dyDescent="0.2">
      <c r="A25" s="31"/>
      <c r="B25" s="26" t="s">
        <v>21</v>
      </c>
      <c r="C25" s="6" t="s">
        <v>22</v>
      </c>
    </row>
    <row r="26" spans="1:3" x14ac:dyDescent="0.2">
      <c r="A26" s="4"/>
      <c r="B26" s="5"/>
      <c r="C26" s="4"/>
    </row>
    <row r="27" spans="1:3" x14ac:dyDescent="0.2">
      <c r="A27" s="228" t="s">
        <v>24</v>
      </c>
      <c r="B27" s="27" t="s">
        <v>6</v>
      </c>
      <c r="C27" s="6" t="s">
        <v>11</v>
      </c>
    </row>
    <row r="28" spans="1:3" x14ac:dyDescent="0.2">
      <c r="A28" s="228"/>
      <c r="B28" s="27" t="s">
        <v>8</v>
      </c>
      <c r="C28" s="6" t="s">
        <v>12</v>
      </c>
    </row>
    <row r="29" spans="1:3" x14ac:dyDescent="0.2">
      <c r="A29" s="228"/>
      <c r="B29" s="27" t="s">
        <v>13</v>
      </c>
      <c r="C29" s="6" t="s">
        <v>14</v>
      </c>
    </row>
    <row r="30" spans="1:3" x14ac:dyDescent="0.2">
      <c r="A30" s="228"/>
      <c r="B30" s="27" t="s">
        <v>15</v>
      </c>
      <c r="C30" s="6" t="s">
        <v>16</v>
      </c>
    </row>
    <row r="31" spans="1:3" ht="14.45" customHeight="1" x14ac:dyDescent="0.2">
      <c r="A31" s="228"/>
      <c r="B31" s="27" t="s">
        <v>17</v>
      </c>
      <c r="C31" s="6" t="s">
        <v>18</v>
      </c>
    </row>
    <row r="32" spans="1:3" x14ac:dyDescent="0.2">
      <c r="A32" s="228"/>
      <c r="B32" s="27" t="s">
        <v>19</v>
      </c>
      <c r="C32" s="6" t="s">
        <v>20</v>
      </c>
    </row>
    <row r="33" spans="1:3" x14ac:dyDescent="0.2">
      <c r="A33" s="32"/>
      <c r="B33" s="27" t="s">
        <v>21</v>
      </c>
      <c r="C33" s="6" t="s">
        <v>22</v>
      </c>
    </row>
    <row r="34" spans="1:3" x14ac:dyDescent="0.2">
      <c r="A34" s="4"/>
      <c r="B34" s="5"/>
      <c r="C34" s="4"/>
    </row>
    <row r="35" spans="1:3" x14ac:dyDescent="0.2">
      <c r="A35" s="229" t="s">
        <v>25</v>
      </c>
      <c r="B35" s="29" t="s">
        <v>6</v>
      </c>
      <c r="C35" s="6" t="s">
        <v>11</v>
      </c>
    </row>
    <row r="36" spans="1:3" x14ac:dyDescent="0.2">
      <c r="A36" s="229"/>
      <c r="B36" s="29" t="s">
        <v>8</v>
      </c>
      <c r="C36" s="6" t="s">
        <v>12</v>
      </c>
    </row>
    <row r="37" spans="1:3" x14ac:dyDescent="0.2">
      <c r="A37" s="229"/>
      <c r="B37" s="29" t="s">
        <v>13</v>
      </c>
      <c r="C37" s="6" t="s">
        <v>14</v>
      </c>
    </row>
    <row r="38" spans="1:3" x14ac:dyDescent="0.2">
      <c r="A38" s="229"/>
      <c r="B38" s="29" t="s">
        <v>15</v>
      </c>
      <c r="C38" s="6" t="s">
        <v>16</v>
      </c>
    </row>
    <row r="39" spans="1:3" x14ac:dyDescent="0.2">
      <c r="A39" s="229"/>
      <c r="B39" s="29" t="s">
        <v>17</v>
      </c>
      <c r="C39" s="6" t="s">
        <v>18</v>
      </c>
    </row>
    <row r="40" spans="1:3" x14ac:dyDescent="0.2">
      <c r="A40" s="229"/>
      <c r="B40" s="29" t="s">
        <v>19</v>
      </c>
      <c r="C40" s="6" t="s">
        <v>20</v>
      </c>
    </row>
    <row r="41" spans="1:3" x14ac:dyDescent="0.2">
      <c r="A41" s="33"/>
      <c r="B41" s="29" t="s">
        <v>21</v>
      </c>
      <c r="C41" s="6" t="s">
        <v>22</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F15" sqref="F15"/>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42" t="s">
        <v>237</v>
      </c>
      <c r="B1" s="242"/>
      <c r="C1" s="242"/>
      <c r="D1" s="242"/>
      <c r="E1" s="242"/>
      <c r="F1" s="242"/>
      <c r="G1" s="242"/>
      <c r="H1" s="242"/>
      <c r="I1" s="242"/>
      <c r="J1" s="242"/>
      <c r="K1" s="242"/>
      <c r="L1" s="242"/>
      <c r="M1" s="242"/>
      <c r="N1" s="242"/>
      <c r="O1" s="242"/>
      <c r="P1" s="242"/>
      <c r="Q1" s="242"/>
      <c r="R1" s="242"/>
      <c r="S1" s="242"/>
      <c r="T1" s="242"/>
      <c r="U1" s="242"/>
      <c r="V1" s="242"/>
      <c r="W1" s="242"/>
      <c r="X1" s="242"/>
      <c r="Y1" s="242"/>
    </row>
    <row r="3" spans="1:33" ht="15" x14ac:dyDescent="0.25">
      <c r="A3" s="193"/>
      <c r="E3" s="1"/>
      <c r="I3" s="40"/>
      <c r="M3" s="1"/>
      <c r="AC3" s="84"/>
      <c r="AG3" s="1"/>
    </row>
    <row r="4" spans="1:33" x14ac:dyDescent="0.2">
      <c r="E4" s="1"/>
      <c r="M4" s="1"/>
      <c r="AC4" s="84"/>
      <c r="AG4" s="1"/>
    </row>
    <row r="5" spans="1:33" x14ac:dyDescent="0.2">
      <c r="E5" s="1"/>
      <c r="M5" s="1"/>
      <c r="AC5" s="84"/>
      <c r="AG5" s="1"/>
    </row>
    <row r="6" spans="1:33" x14ac:dyDescent="0.2">
      <c r="E6" s="1"/>
      <c r="I6" s="194"/>
      <c r="M6" s="1"/>
      <c r="AC6" s="84"/>
      <c r="AG6" s="1"/>
    </row>
    <row r="7" spans="1:33" x14ac:dyDescent="0.2">
      <c r="E7" s="1"/>
      <c r="I7" s="194"/>
      <c r="M7" s="1"/>
      <c r="AC7" s="84"/>
      <c r="AG7" s="1"/>
    </row>
    <row r="8" spans="1:33" x14ac:dyDescent="0.2">
      <c r="E8" s="1"/>
      <c r="I8" s="194"/>
      <c r="M8" s="1"/>
      <c r="AC8" s="84"/>
      <c r="AG8" s="1"/>
    </row>
    <row r="9" spans="1:33" x14ac:dyDescent="0.2">
      <c r="E9" s="1"/>
      <c r="I9" s="194"/>
      <c r="M9" s="1"/>
      <c r="AC9" s="84"/>
      <c r="AG9" s="1"/>
    </row>
    <row r="10" spans="1:33" x14ac:dyDescent="0.2">
      <c r="E10" s="1"/>
      <c r="I10" s="194"/>
      <c r="M10" s="1"/>
      <c r="AC10" s="84"/>
      <c r="AG10" s="1"/>
    </row>
    <row r="11" spans="1:33" x14ac:dyDescent="0.2">
      <c r="E11" s="1"/>
      <c r="I11" s="194"/>
      <c r="M11" s="1"/>
      <c r="AC11" s="84"/>
      <c r="AG11" s="1"/>
    </row>
    <row r="12" spans="1:33" x14ac:dyDescent="0.2">
      <c r="E12" s="1"/>
      <c r="I12" s="194"/>
      <c r="M12" s="1"/>
      <c r="AC12" s="84"/>
      <c r="AG12" s="1"/>
    </row>
    <row r="13" spans="1:33" x14ac:dyDescent="0.2">
      <c r="E13" s="1"/>
      <c r="I13" s="194"/>
      <c r="M13" s="1"/>
      <c r="AC13" s="84"/>
      <c r="AG13" s="1"/>
    </row>
    <row r="14" spans="1:33" x14ac:dyDescent="0.2">
      <c r="E14" s="1"/>
      <c r="I14" s="194"/>
      <c r="M14" s="1"/>
      <c r="AC14" s="84"/>
      <c r="AG14" s="1"/>
    </row>
    <row r="15" spans="1:33" x14ac:dyDescent="0.2">
      <c r="E15" s="1"/>
      <c r="I15" s="194"/>
      <c r="M15" s="1"/>
      <c r="AC15" s="84"/>
      <c r="AG15" s="1"/>
    </row>
    <row r="16" spans="1:33" x14ac:dyDescent="0.2">
      <c r="E16" s="1"/>
      <c r="I16" s="194"/>
      <c r="M16" s="1"/>
      <c r="AC16" s="84"/>
      <c r="AG16" s="1"/>
    </row>
    <row r="17" spans="3:33" x14ac:dyDescent="0.2">
      <c r="E17" s="1"/>
      <c r="I17" s="194"/>
      <c r="M17" s="1"/>
      <c r="AC17" s="84"/>
      <c r="AG17" s="1"/>
    </row>
    <row r="18" spans="3:33" x14ac:dyDescent="0.2">
      <c r="C18" s="39"/>
      <c r="E18" s="1"/>
      <c r="I18" s="194"/>
      <c r="M18" s="1"/>
      <c r="AC18" s="84"/>
      <c r="AG18" s="1"/>
    </row>
    <row r="19" spans="3:33" x14ac:dyDescent="0.2">
      <c r="C19" s="39"/>
      <c r="E19" s="1"/>
      <c r="I19" s="194"/>
      <c r="M19" s="1"/>
      <c r="AC19" s="84"/>
      <c r="AG19" s="1"/>
    </row>
    <row r="20" spans="3:33" x14ac:dyDescent="0.2">
      <c r="C20" s="39"/>
      <c r="E20" s="1"/>
      <c r="I20" s="194"/>
      <c r="M20" s="1"/>
      <c r="AC20" s="84"/>
      <c r="AG20" s="1"/>
    </row>
    <row r="21" spans="3:33" x14ac:dyDescent="0.2">
      <c r="E21" s="1"/>
      <c r="I21" s="194"/>
      <c r="M21" s="1"/>
      <c r="AC21" s="84"/>
      <c r="AG21" s="1"/>
    </row>
    <row r="22" spans="3:33" x14ac:dyDescent="0.2">
      <c r="E22" s="1"/>
      <c r="I22" s="194"/>
      <c r="M22" s="1"/>
      <c r="AC22" s="84"/>
      <c r="AG22" s="1"/>
    </row>
    <row r="23" spans="3:33" x14ac:dyDescent="0.2">
      <c r="E23" s="1"/>
      <c r="I23" s="194"/>
      <c r="M23" s="1"/>
      <c r="AC23" s="84"/>
      <c r="AG23" s="1"/>
    </row>
    <row r="24" spans="3:33" x14ac:dyDescent="0.2">
      <c r="E24" s="1"/>
      <c r="I24" s="194"/>
      <c r="M24" s="1"/>
      <c r="AC24" s="84"/>
      <c r="AG24" s="1"/>
    </row>
    <row r="25" spans="3:33" x14ac:dyDescent="0.2">
      <c r="E25" s="1"/>
      <c r="M25" s="1"/>
      <c r="AC25" s="84"/>
      <c r="AG25" s="1"/>
    </row>
    <row r="26" spans="3:33" x14ac:dyDescent="0.2">
      <c r="E26" s="1"/>
      <c r="M26" s="1"/>
      <c r="AC26" s="84"/>
      <c r="AG26" s="1"/>
    </row>
    <row r="27" spans="3:33" x14ac:dyDescent="0.2">
      <c r="E27" s="1"/>
      <c r="M27" s="1"/>
      <c r="AC27" s="84"/>
      <c r="AG27" s="1"/>
    </row>
    <row r="28" spans="3:33" x14ac:dyDescent="0.2">
      <c r="E28" s="1"/>
      <c r="M28" s="1"/>
      <c r="AC28" s="84"/>
      <c r="AG28" s="1"/>
    </row>
    <row r="29" spans="3:33" x14ac:dyDescent="0.2">
      <c r="E29" s="1"/>
      <c r="M29" s="1"/>
      <c r="AC29" s="84"/>
      <c r="AG29" s="1"/>
    </row>
    <row r="30" spans="3:33" x14ac:dyDescent="0.2">
      <c r="E30" s="1"/>
      <c r="M30" s="1"/>
      <c r="AC30" s="84"/>
      <c r="AG30" s="1"/>
    </row>
    <row r="31" spans="3:33" x14ac:dyDescent="0.2">
      <c r="E31" s="1"/>
      <c r="M31" s="1"/>
      <c r="AC31" s="84"/>
      <c r="AG31" s="1"/>
    </row>
    <row r="32" spans="3:33" x14ac:dyDescent="0.2">
      <c r="E32" s="1"/>
      <c r="M32" s="1"/>
      <c r="AC32" s="84"/>
      <c r="AG32" s="1"/>
    </row>
    <row r="33" spans="29:29" s="1" customFormat="1" x14ac:dyDescent="0.2">
      <c r="AC33" s="84"/>
    </row>
    <row r="34" spans="29:29" s="1" customFormat="1" x14ac:dyDescent="0.2">
      <c r="AC34" s="84"/>
    </row>
    <row r="35" spans="29:29" s="1" customFormat="1" x14ac:dyDescent="0.2">
      <c r="AC35" s="84"/>
    </row>
    <row r="36" spans="29:29" s="1" customFormat="1" x14ac:dyDescent="0.2">
      <c r="AC36" s="84"/>
    </row>
    <row r="37" spans="29:29" s="1" customFormat="1" x14ac:dyDescent="0.2">
      <c r="AC37" s="84"/>
    </row>
    <row r="38" spans="29:29" s="1" customFormat="1" x14ac:dyDescent="0.2">
      <c r="AC38" s="84"/>
    </row>
    <row r="39" spans="29:29" s="1" customFormat="1" x14ac:dyDescent="0.2">
      <c r="AC39" s="84"/>
    </row>
    <row r="40" spans="29:29" s="1" customFormat="1" x14ac:dyDescent="0.2">
      <c r="AC40" s="84"/>
    </row>
    <row r="41" spans="29:29" s="1" customFormat="1" x14ac:dyDescent="0.2">
      <c r="AC41" s="84"/>
    </row>
    <row r="42" spans="29:29" s="1" customFormat="1" x14ac:dyDescent="0.2">
      <c r="AC42" s="84"/>
    </row>
    <row r="43" spans="29:29" s="1" customFormat="1" x14ac:dyDescent="0.2">
      <c r="AC43" s="84"/>
    </row>
    <row r="44" spans="29:29" s="1" customFormat="1" x14ac:dyDescent="0.2">
      <c r="AC44" s="84"/>
    </row>
    <row r="45" spans="29:29" s="1" customFormat="1" x14ac:dyDescent="0.2">
      <c r="AC45" s="84"/>
    </row>
    <row r="46" spans="29:29" s="1" customFormat="1" x14ac:dyDescent="0.2">
      <c r="AC46" s="84"/>
    </row>
    <row r="47" spans="29:29" s="1" customFormat="1" x14ac:dyDescent="0.2">
      <c r="AC47" s="84"/>
    </row>
    <row r="48" spans="29:29" s="1" customFormat="1" x14ac:dyDescent="0.2">
      <c r="AC48" s="84"/>
    </row>
    <row r="49" spans="1:33" x14ac:dyDescent="0.2">
      <c r="E49" s="1"/>
      <c r="M49" s="1"/>
      <c r="AC49" s="84"/>
      <c r="AG49" s="1"/>
    </row>
    <row r="50" spans="1:33" x14ac:dyDescent="0.2">
      <c r="E50" s="1"/>
      <c r="M50" s="1"/>
      <c r="AC50" s="84"/>
      <c r="AG50" s="1"/>
    </row>
    <row r="51" spans="1:33" x14ac:dyDescent="0.2">
      <c r="E51" s="1"/>
      <c r="M51" s="1"/>
      <c r="AC51" s="84"/>
      <c r="AG51" s="1"/>
    </row>
    <row r="52" spans="1:33" x14ac:dyDescent="0.2">
      <c r="E52" s="1"/>
      <c r="M52" s="1"/>
      <c r="AC52" s="84"/>
      <c r="AG52" s="1"/>
    </row>
    <row r="53" spans="1:33" x14ac:dyDescent="0.2">
      <c r="E53" s="1"/>
      <c r="M53" s="1"/>
      <c r="AC53" s="84"/>
      <c r="AG53" s="1"/>
    </row>
    <row r="54" spans="1:33" x14ac:dyDescent="0.2">
      <c r="A54" s="161"/>
      <c r="E54" s="1"/>
      <c r="M54" s="1"/>
      <c r="AC54" s="84"/>
      <c r="AG54" s="1"/>
    </row>
    <row r="55" spans="1:33" x14ac:dyDescent="0.2">
      <c r="E55" s="1"/>
      <c r="M55" s="1"/>
      <c r="AC55" s="84"/>
      <c r="AG55" s="1"/>
    </row>
    <row r="56" spans="1:33" x14ac:dyDescent="0.2">
      <c r="E56" s="1"/>
      <c r="M56" s="1"/>
      <c r="AC56" s="84"/>
      <c r="AG56" s="1"/>
    </row>
    <row r="57" spans="1:33" x14ac:dyDescent="0.2">
      <c r="E57" s="1"/>
      <c r="M57" s="1"/>
      <c r="AC57" s="84"/>
      <c r="AG57" s="1"/>
    </row>
    <row r="58" spans="1:33" x14ac:dyDescent="0.2">
      <c r="E58" s="1"/>
      <c r="M58" s="1"/>
      <c r="AC58" s="84"/>
      <c r="AG58" s="1"/>
    </row>
    <row r="59" spans="1:33" x14ac:dyDescent="0.2">
      <c r="E59" s="1"/>
      <c r="M59" s="1"/>
      <c r="AC59" s="84"/>
      <c r="AG59" s="1"/>
    </row>
    <row r="60" spans="1:33" x14ac:dyDescent="0.2">
      <c r="E60" s="1"/>
      <c r="M60" s="1"/>
      <c r="AC60" s="84"/>
      <c r="AG60" s="1"/>
    </row>
    <row r="61" spans="1:33" x14ac:dyDescent="0.2">
      <c r="E61" s="1"/>
      <c r="M61" s="1"/>
      <c r="AC61" s="84"/>
      <c r="AG61" s="1"/>
    </row>
    <row r="62" spans="1:33" x14ac:dyDescent="0.2">
      <c r="E62" s="1"/>
      <c r="M62" s="1"/>
      <c r="AC62" s="84"/>
      <c r="AG62" s="1"/>
    </row>
    <row r="63" spans="1:33" x14ac:dyDescent="0.2">
      <c r="E63" s="1"/>
      <c r="M63" s="1"/>
      <c r="AC63" s="84"/>
      <c r="AG63" s="1"/>
    </row>
    <row r="64" spans="1:33" x14ac:dyDescent="0.2">
      <c r="A64" s="39"/>
      <c r="E64" s="1"/>
      <c r="M64" s="1"/>
      <c r="AC64" s="84"/>
      <c r="AG64" s="1"/>
    </row>
    <row r="65" spans="1:33" x14ac:dyDescent="0.2">
      <c r="A65" s="39"/>
      <c r="E65" s="1"/>
      <c r="M65" s="1"/>
      <c r="AC65" s="84"/>
      <c r="AG65" s="1"/>
    </row>
    <row r="66" spans="1:33" x14ac:dyDescent="0.2">
      <c r="A66" s="39"/>
      <c r="E66" s="1"/>
      <c r="M66" s="1"/>
      <c r="AC66" s="84"/>
      <c r="AG66" s="1"/>
    </row>
    <row r="67" spans="1:33" x14ac:dyDescent="0.2">
      <c r="A67" s="39"/>
      <c r="E67" s="1"/>
      <c r="M67" s="1"/>
      <c r="AC67" s="84"/>
      <c r="AG67" s="1"/>
    </row>
    <row r="68" spans="1:33" x14ac:dyDescent="0.2">
      <c r="A68" s="39"/>
      <c r="E68" s="1"/>
      <c r="M68" s="1"/>
      <c r="AC68" s="84"/>
      <c r="AG68" s="1"/>
    </row>
    <row r="69" spans="1:33" x14ac:dyDescent="0.2">
      <c r="A69" s="39"/>
      <c r="E69" s="1"/>
      <c r="M69" s="1"/>
      <c r="AC69" s="84"/>
      <c r="AG69" s="1"/>
    </row>
    <row r="70" spans="1:33" x14ac:dyDescent="0.2">
      <c r="A70" s="39"/>
      <c r="E70" s="1"/>
      <c r="M70" s="1"/>
      <c r="AC70" s="84"/>
      <c r="AG70" s="1"/>
    </row>
    <row r="71" spans="1:33" x14ac:dyDescent="0.2">
      <c r="A71" s="39"/>
      <c r="E71" s="1"/>
      <c r="M71" s="1"/>
      <c r="AC71" s="84"/>
      <c r="AG71" s="1"/>
    </row>
  </sheetData>
  <mergeCells count="1">
    <mergeCell ref="A1:Y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zoomScaleNormal="100" workbookViewId="0">
      <selection activeCell="M33" sqref="M33"/>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2" t="s">
        <v>238</v>
      </c>
      <c r="B1" s="242"/>
      <c r="C1" s="242"/>
      <c r="D1" s="242"/>
      <c r="E1" s="242"/>
      <c r="F1" s="242"/>
      <c r="G1" s="242"/>
      <c r="H1" s="242"/>
      <c r="I1" s="242"/>
      <c r="J1" s="242"/>
      <c r="K1" s="242"/>
      <c r="L1" s="242"/>
      <c r="M1" s="242"/>
      <c r="N1" s="242"/>
      <c r="O1" s="242"/>
      <c r="P1" s="242"/>
      <c r="Q1" s="242"/>
      <c r="R1" s="242"/>
    </row>
    <row r="2" spans="1:27" ht="15" thickBot="1" x14ac:dyDescent="0.25">
      <c r="B2" s="38"/>
      <c r="C2" s="38"/>
      <c r="P2" s="1"/>
      <c r="Q2" s="40"/>
    </row>
    <row r="3" spans="1:27" ht="12.75" customHeight="1" thickBot="1" x14ac:dyDescent="0.25">
      <c r="A3" s="326" t="s">
        <v>28</v>
      </c>
      <c r="B3" s="329" t="s">
        <v>29</v>
      </c>
      <c r="C3" s="263"/>
      <c r="D3" s="301" t="s">
        <v>30</v>
      </c>
      <c r="E3" s="302"/>
      <c r="F3" s="212" t="s">
        <v>32</v>
      </c>
      <c r="G3" s="211" t="s">
        <v>32</v>
      </c>
      <c r="H3" s="211" t="s">
        <v>32</v>
      </c>
      <c r="I3" s="279" t="s">
        <v>32</v>
      </c>
      <c r="J3" s="279"/>
      <c r="K3" s="279" t="s">
        <v>33</v>
      </c>
      <c r="L3" s="279"/>
      <c r="M3" s="211" t="s">
        <v>34</v>
      </c>
      <c r="N3" s="211" t="s">
        <v>34</v>
      </c>
      <c r="O3" s="213" t="s">
        <v>34</v>
      </c>
      <c r="P3" s="1"/>
      <c r="Q3" s="40"/>
      <c r="V3" s="310" t="s">
        <v>52</v>
      </c>
      <c r="W3" s="310"/>
      <c r="X3" s="310"/>
      <c r="Y3" s="310"/>
      <c r="Z3" s="310"/>
      <c r="AA3" s="310"/>
    </row>
    <row r="4" spans="1:27" ht="14.45" customHeight="1" thickBot="1" x14ac:dyDescent="0.3">
      <c r="A4" s="327"/>
      <c r="B4" s="264" t="s">
        <v>36</v>
      </c>
      <c r="C4" s="330" t="s">
        <v>37</v>
      </c>
      <c r="D4" s="313" t="s">
        <v>36</v>
      </c>
      <c r="E4" s="315" t="s">
        <v>37</v>
      </c>
      <c r="F4" s="290" t="s">
        <v>38</v>
      </c>
      <c r="G4" s="288" t="s">
        <v>39</v>
      </c>
      <c r="H4" s="288" t="s">
        <v>40</v>
      </c>
      <c r="I4" s="280" t="s">
        <v>127</v>
      </c>
      <c r="J4" s="281"/>
      <c r="K4" s="280" t="s">
        <v>42</v>
      </c>
      <c r="L4" s="281"/>
      <c r="M4" s="292" t="s">
        <v>43</v>
      </c>
      <c r="N4" s="292" t="s">
        <v>44</v>
      </c>
      <c r="O4" s="332" t="s">
        <v>45</v>
      </c>
      <c r="P4" s="1"/>
      <c r="Q4" s="40"/>
      <c r="U4" s="1" t="s">
        <v>128</v>
      </c>
      <c r="V4" s="44" t="s">
        <v>129</v>
      </c>
      <c r="W4" s="44" t="s">
        <v>47</v>
      </c>
      <c r="X4" s="44" t="s">
        <v>49</v>
      </c>
      <c r="Y4" s="44" t="s">
        <v>130</v>
      </c>
      <c r="Z4" s="44" t="s">
        <v>131</v>
      </c>
      <c r="AA4" s="44" t="s">
        <v>132</v>
      </c>
    </row>
    <row r="5" spans="1:27" ht="26.25" customHeight="1" thickBot="1" x14ac:dyDescent="0.25">
      <c r="A5" s="328"/>
      <c r="B5" s="309"/>
      <c r="C5" s="331"/>
      <c r="D5" s="314"/>
      <c r="E5" s="316"/>
      <c r="F5" s="291"/>
      <c r="G5" s="289"/>
      <c r="H5" s="289"/>
      <c r="I5" s="45" t="s">
        <v>47</v>
      </c>
      <c r="J5" s="45" t="s">
        <v>48</v>
      </c>
      <c r="K5" s="45" t="s">
        <v>49</v>
      </c>
      <c r="L5" s="45" t="s">
        <v>50</v>
      </c>
      <c r="M5" s="293"/>
      <c r="N5" s="293"/>
      <c r="O5" s="333"/>
      <c r="P5" s="1"/>
      <c r="Q5" s="40"/>
      <c r="U5" s="1">
        <v>0</v>
      </c>
      <c r="V5" s="46">
        <f>H6</f>
        <v>17.501954875195317</v>
      </c>
      <c r="W5" s="46">
        <f>I6</f>
        <v>20.535625000000003</v>
      </c>
      <c r="X5" s="46">
        <f>K6</f>
        <v>22.589187500000005</v>
      </c>
      <c r="Y5" s="46">
        <f>M6</f>
        <v>24.848106250000008</v>
      </c>
      <c r="Z5" s="46">
        <f>N6</f>
        <v>27.332916875000009</v>
      </c>
      <c r="AA5" s="46">
        <f>O6</f>
        <v>30.066208562500012</v>
      </c>
    </row>
    <row r="6" spans="1:27" x14ac:dyDescent="0.2">
      <c r="A6" s="111" t="s">
        <v>52</v>
      </c>
      <c r="B6" s="112">
        <f>'1A'!B12</f>
        <v>13.49</v>
      </c>
      <c r="C6" s="113">
        <f>'1A'!C12</f>
        <v>28059.200000000001</v>
      </c>
      <c r="D6" s="59">
        <f>'1A'!D12</f>
        <v>20.535625000000003</v>
      </c>
      <c r="E6" s="114">
        <f>'1A'!E12</f>
        <v>42714.100000000006</v>
      </c>
      <c r="F6" s="59">
        <f>'1A'!F12</f>
        <v>17.501954875195317</v>
      </c>
      <c r="G6" s="59">
        <f>'1A'!G12</f>
        <v>17.501954875195317</v>
      </c>
      <c r="H6" s="59">
        <f>'1A'!H12</f>
        <v>17.501954875195317</v>
      </c>
      <c r="I6" s="60">
        <f>'1A'!I12</f>
        <v>20.535625000000003</v>
      </c>
      <c r="J6" s="116">
        <f>'1A'!J12</f>
        <v>21.562406250000006</v>
      </c>
      <c r="K6" s="60">
        <f>'1A'!K12</f>
        <v>22.589187500000005</v>
      </c>
      <c r="L6" s="60">
        <f>'1A'!L12</f>
        <v>23.718646875000005</v>
      </c>
      <c r="M6" s="60">
        <f>'1A'!M12</f>
        <v>24.848106250000008</v>
      </c>
      <c r="N6" s="60">
        <f>'1A'!N12</f>
        <v>27.332916875000009</v>
      </c>
      <c r="O6" s="162">
        <f>'1A'!O12</f>
        <v>30.066208562500012</v>
      </c>
      <c r="P6" s="1"/>
      <c r="U6" s="1">
        <v>1</v>
      </c>
      <c r="V6" s="46">
        <f t="shared" ref="V6:V25" si="0">V5*1.025</f>
        <v>17.939503747075197</v>
      </c>
      <c r="W6" s="46">
        <f t="shared" ref="W6:W25" si="1">W5*1.025</f>
        <v>21.049015625000003</v>
      </c>
      <c r="X6" s="46">
        <f t="shared" ref="X6:X25" si="2">X5*1.025</f>
        <v>23.153917187500003</v>
      </c>
      <c r="Y6" s="46">
        <f t="shared" ref="Y6:Y25" si="3">Y5*1.025</f>
        <v>25.469308906250006</v>
      </c>
      <c r="Z6" s="46">
        <f t="shared" ref="Z6:Z25" si="4">Z5*1.025</f>
        <v>28.016239796875006</v>
      </c>
      <c r="AA6" s="46">
        <f t="shared" ref="AA6:AA25" si="5">AA5*1.025</f>
        <v>30.817863776562511</v>
      </c>
    </row>
    <row r="7" spans="1:27" x14ac:dyDescent="0.2">
      <c r="A7" s="285" t="s">
        <v>133</v>
      </c>
      <c r="B7" s="286"/>
      <c r="C7" s="286"/>
      <c r="D7" s="286"/>
      <c r="E7" s="286"/>
      <c r="F7" s="286"/>
      <c r="G7" s="286"/>
      <c r="H7" s="287"/>
      <c r="I7" s="55">
        <f>I6-H6</f>
        <v>3.0336701248046865</v>
      </c>
      <c r="J7" s="55">
        <f t="shared" ref="J7:O7" si="6">J6-I6</f>
        <v>1.0267812500000026</v>
      </c>
      <c r="K7" s="55">
        <f t="shared" si="6"/>
        <v>1.0267812499999991</v>
      </c>
      <c r="L7" s="55">
        <f>L6-K6</f>
        <v>1.1294593749999997</v>
      </c>
      <c r="M7" s="55">
        <f>M6-L6</f>
        <v>1.1294593750000033</v>
      </c>
      <c r="N7" s="55">
        <f t="shared" si="6"/>
        <v>2.4848106250000015</v>
      </c>
      <c r="O7" s="55">
        <f t="shared" si="6"/>
        <v>2.7332916875000031</v>
      </c>
      <c r="P7" s="1"/>
      <c r="U7" s="1">
        <v>2</v>
      </c>
      <c r="V7" s="46">
        <f t="shared" si="0"/>
        <v>18.387991340752073</v>
      </c>
      <c r="W7" s="46">
        <f t="shared" si="1"/>
        <v>21.575241015625</v>
      </c>
      <c r="X7" s="46">
        <f t="shared" si="2"/>
        <v>23.732765117187501</v>
      </c>
      <c r="Y7" s="46">
        <f t="shared" si="3"/>
        <v>26.106041628906254</v>
      </c>
      <c r="Z7" s="46">
        <f t="shared" si="4"/>
        <v>28.716645791796878</v>
      </c>
      <c r="AA7" s="46">
        <f t="shared" si="5"/>
        <v>31.588310370976572</v>
      </c>
    </row>
    <row r="8" spans="1:27" x14ac:dyDescent="0.2">
      <c r="A8" s="56" t="s">
        <v>62</v>
      </c>
      <c r="B8" s="59">
        <f>'1A'!B20</f>
        <v>13.49</v>
      </c>
      <c r="C8" s="114">
        <f>'1A'!C20</f>
        <v>28059.200000000001</v>
      </c>
      <c r="D8" s="59">
        <f>'1A'!D20</f>
        <v>18.668750000000003</v>
      </c>
      <c r="E8" s="114">
        <f>'1A'!E20</f>
        <v>38831.000000000007</v>
      </c>
      <c r="F8" s="59">
        <f>'1A'!F20</f>
        <v>15.910868068359376</v>
      </c>
      <c r="G8" s="60">
        <f>'1A'!G20</f>
        <v>15.910868068359376</v>
      </c>
      <c r="H8" s="60">
        <f>'1A'!H20</f>
        <v>15.910868068359376</v>
      </c>
      <c r="I8" s="61">
        <f>'1A'!I20</f>
        <v>18.668750000000003</v>
      </c>
      <c r="J8" s="61">
        <f>'1A'!J20</f>
        <v>19.602187500000003</v>
      </c>
      <c r="K8" s="61">
        <f>'1A'!K20</f>
        <v>20.535625000000003</v>
      </c>
      <c r="L8" s="61">
        <f>'1A'!L20</f>
        <v>21.562406250000006</v>
      </c>
      <c r="M8" s="61">
        <f>'1A'!M20</f>
        <v>22.589187500000005</v>
      </c>
      <c r="N8" s="61">
        <f>'1A'!N20</f>
        <v>24.848106250000008</v>
      </c>
      <c r="O8" s="62">
        <f>'1A'!O20</f>
        <v>27.332916875000009</v>
      </c>
      <c r="P8" s="46"/>
      <c r="U8" s="1">
        <v>3</v>
      </c>
      <c r="V8" s="46">
        <f t="shared" si="0"/>
        <v>18.847691124270874</v>
      </c>
      <c r="W8" s="46">
        <f t="shared" si="1"/>
        <v>22.114622041015622</v>
      </c>
      <c r="X8" s="46">
        <f t="shared" si="2"/>
        <v>24.326084245117187</v>
      </c>
      <c r="Y8" s="46">
        <f t="shared" si="3"/>
        <v>26.758692669628907</v>
      </c>
      <c r="Z8" s="46">
        <f t="shared" si="4"/>
        <v>29.434561936591798</v>
      </c>
      <c r="AA8" s="46">
        <f t="shared" si="5"/>
        <v>32.378018130250986</v>
      </c>
    </row>
    <row r="9" spans="1:27" x14ac:dyDescent="0.2">
      <c r="A9" s="285" t="s">
        <v>133</v>
      </c>
      <c r="B9" s="286"/>
      <c r="C9" s="286"/>
      <c r="D9" s="286"/>
      <c r="E9" s="286"/>
      <c r="F9" s="286"/>
      <c r="G9" s="286"/>
      <c r="H9" s="287"/>
      <c r="I9" s="55">
        <f>I8-H8</f>
        <v>2.7578819316406271</v>
      </c>
      <c r="J9" s="55">
        <f t="shared" ref="J9:N9" si="7">J8-I8</f>
        <v>0.93343750000000014</v>
      </c>
      <c r="K9" s="55">
        <f t="shared" si="7"/>
        <v>0.93343750000000014</v>
      </c>
      <c r="L9" s="55">
        <f t="shared" si="7"/>
        <v>1.0267812500000026</v>
      </c>
      <c r="M9" s="55">
        <f t="shared" si="7"/>
        <v>1.0267812499999991</v>
      </c>
      <c r="N9" s="55">
        <f t="shared" si="7"/>
        <v>2.258918750000003</v>
      </c>
      <c r="O9" s="55">
        <f>O8-N8</f>
        <v>2.4848106250000015</v>
      </c>
      <c r="P9" s="1"/>
      <c r="U9" s="1">
        <v>4</v>
      </c>
      <c r="V9" s="46">
        <f t="shared" si="0"/>
        <v>19.318883402377644</v>
      </c>
      <c r="W9" s="46">
        <f t="shared" si="1"/>
        <v>22.667487592041009</v>
      </c>
      <c r="X9" s="46">
        <f t="shared" si="2"/>
        <v>24.934236351245115</v>
      </c>
      <c r="Y9" s="46">
        <f t="shared" si="3"/>
        <v>27.427659986369626</v>
      </c>
      <c r="Z9" s="46">
        <f t="shared" si="4"/>
        <v>30.170425985006592</v>
      </c>
      <c r="AA9" s="46">
        <f t="shared" si="5"/>
        <v>33.187468583507261</v>
      </c>
    </row>
    <row r="10" spans="1:27" x14ac:dyDescent="0.2">
      <c r="P10" s="1"/>
      <c r="Q10" s="40"/>
      <c r="U10" s="1">
        <v>5</v>
      </c>
      <c r="V10" s="46">
        <f t="shared" si="0"/>
        <v>19.801855487437084</v>
      </c>
      <c r="W10" s="46">
        <f t="shared" si="1"/>
        <v>23.234174781842032</v>
      </c>
      <c r="X10" s="46">
        <f t="shared" si="2"/>
        <v>25.55759226002624</v>
      </c>
      <c r="Y10" s="46">
        <f t="shared" si="3"/>
        <v>28.113351486028865</v>
      </c>
      <c r="Z10" s="46">
        <f t="shared" si="4"/>
        <v>30.924686634631755</v>
      </c>
      <c r="AA10" s="46">
        <f t="shared" si="5"/>
        <v>34.017155298094941</v>
      </c>
    </row>
    <row r="11" spans="1:27" x14ac:dyDescent="0.2">
      <c r="P11" s="1"/>
      <c r="Q11" s="40"/>
      <c r="U11" s="1">
        <v>6</v>
      </c>
      <c r="V11" s="46">
        <f t="shared" si="0"/>
        <v>20.296901874623011</v>
      </c>
      <c r="W11" s="46">
        <f t="shared" si="1"/>
        <v>23.815029151388082</v>
      </c>
      <c r="X11" s="46">
        <f t="shared" si="2"/>
        <v>26.196532066526895</v>
      </c>
      <c r="Y11" s="46">
        <f t="shared" si="3"/>
        <v>28.816185273179585</v>
      </c>
      <c r="Z11" s="46">
        <f t="shared" si="4"/>
        <v>31.697803800497546</v>
      </c>
      <c r="AA11" s="46">
        <f t="shared" si="5"/>
        <v>34.867584180547311</v>
      </c>
    </row>
    <row r="12" spans="1:27" x14ac:dyDescent="0.2">
      <c r="P12" s="1"/>
      <c r="Q12" s="40"/>
      <c r="U12" s="1">
        <v>7</v>
      </c>
      <c r="V12" s="46">
        <f t="shared" si="0"/>
        <v>20.804324421488584</v>
      </c>
      <c r="W12" s="46">
        <f t="shared" si="1"/>
        <v>24.410404880172781</v>
      </c>
      <c r="X12" s="46">
        <f t="shared" si="2"/>
        <v>26.851445368190067</v>
      </c>
      <c r="Y12" s="46">
        <f t="shared" si="3"/>
        <v>29.536589905009073</v>
      </c>
      <c r="Z12" s="46">
        <f t="shared" si="4"/>
        <v>32.490248895509978</v>
      </c>
      <c r="AA12" s="46">
        <f t="shared" si="5"/>
        <v>35.739273785060988</v>
      </c>
    </row>
    <row r="13" spans="1:27" x14ac:dyDescent="0.2">
      <c r="U13" s="1">
        <v>8</v>
      </c>
      <c r="V13" s="46">
        <f t="shared" si="0"/>
        <v>21.324432532025796</v>
      </c>
      <c r="W13" s="46">
        <f t="shared" si="1"/>
        <v>25.020665002177097</v>
      </c>
      <c r="X13" s="46">
        <f t="shared" si="2"/>
        <v>27.522731502394816</v>
      </c>
      <c r="Y13" s="46">
        <f t="shared" si="3"/>
        <v>30.275004652634298</v>
      </c>
      <c r="Z13" s="46">
        <f t="shared" si="4"/>
        <v>33.302505117897724</v>
      </c>
      <c r="AA13" s="46">
        <f t="shared" si="5"/>
        <v>36.632755629687509</v>
      </c>
    </row>
    <row r="14" spans="1:27" ht="16.5" thickBot="1" x14ac:dyDescent="0.3">
      <c r="A14" s="28" t="s">
        <v>239</v>
      </c>
      <c r="B14" s="28"/>
      <c r="C14" s="28"/>
      <c r="D14" s="28"/>
      <c r="E14" s="28"/>
      <c r="F14" s="28"/>
      <c r="G14" s="28"/>
      <c r="H14" s="28"/>
      <c r="I14" s="28"/>
      <c r="J14" s="28"/>
      <c r="K14" s="28"/>
      <c r="L14" s="28"/>
      <c r="M14" s="28"/>
      <c r="N14" s="28"/>
      <c r="O14" s="28"/>
      <c r="P14" s="28"/>
      <c r="Q14" s="28"/>
      <c r="R14" s="28"/>
      <c r="S14" s="28"/>
      <c r="T14" s="28"/>
      <c r="U14" s="1">
        <v>9</v>
      </c>
      <c r="V14" s="46">
        <f t="shared" si="0"/>
        <v>21.857543345326437</v>
      </c>
      <c r="W14" s="46">
        <f t="shared" si="1"/>
        <v>25.64618162723152</v>
      </c>
      <c r="X14" s="46">
        <f t="shared" si="2"/>
        <v>28.210799789954685</v>
      </c>
      <c r="Y14" s="46">
        <f t="shared" si="3"/>
        <v>31.031879768950152</v>
      </c>
      <c r="Z14" s="46">
        <f t="shared" si="4"/>
        <v>34.135067745845163</v>
      </c>
      <c r="AA14" s="46">
        <f t="shared" si="5"/>
        <v>37.548574520429696</v>
      </c>
    </row>
    <row r="15" spans="1:27" ht="15.75" thickBot="1" x14ac:dyDescent="0.3">
      <c r="A15" s="298" t="s">
        <v>135</v>
      </c>
      <c r="B15" s="303" t="s">
        <v>32</v>
      </c>
      <c r="C15" s="282"/>
      <c r="D15" s="282"/>
      <c r="E15" s="282" t="s">
        <v>32</v>
      </c>
      <c r="F15" s="282"/>
      <c r="G15" s="282"/>
      <c r="H15" s="282" t="s">
        <v>33</v>
      </c>
      <c r="I15" s="282"/>
      <c r="J15" s="282"/>
      <c r="K15" s="282" t="s">
        <v>34</v>
      </c>
      <c r="L15" s="282"/>
      <c r="M15" s="282"/>
      <c r="N15" s="282" t="s">
        <v>34</v>
      </c>
      <c r="O15" s="282"/>
      <c r="P15" s="297"/>
      <c r="Q15" s="282" t="s">
        <v>34</v>
      </c>
      <c r="R15" s="282"/>
      <c r="S15" s="297"/>
      <c r="T15" s="63"/>
      <c r="U15" s="1">
        <v>10</v>
      </c>
      <c r="V15" s="46">
        <f t="shared" si="0"/>
        <v>22.403981928959595</v>
      </c>
      <c r="W15" s="46">
        <f t="shared" si="1"/>
        <v>26.287336167912308</v>
      </c>
      <c r="X15" s="46">
        <f t="shared" si="2"/>
        <v>28.916069784703549</v>
      </c>
      <c r="Y15" s="46">
        <f t="shared" si="3"/>
        <v>31.807676763173902</v>
      </c>
      <c r="Z15" s="46">
        <f t="shared" si="4"/>
        <v>34.988444439491289</v>
      </c>
      <c r="AA15" s="46">
        <f t="shared" si="5"/>
        <v>38.487288883440435</v>
      </c>
    </row>
    <row r="16" spans="1:27" ht="15" x14ac:dyDescent="0.2">
      <c r="A16" s="299"/>
      <c r="B16" s="304" t="s">
        <v>136</v>
      </c>
      <c r="C16" s="305"/>
      <c r="D16" s="305"/>
      <c r="E16" s="276" t="s">
        <v>127</v>
      </c>
      <c r="F16" s="277"/>
      <c r="G16" s="278"/>
      <c r="H16" s="276" t="s">
        <v>42</v>
      </c>
      <c r="I16" s="277"/>
      <c r="J16" s="278"/>
      <c r="K16" s="294" t="s">
        <v>137</v>
      </c>
      <c r="L16" s="295"/>
      <c r="M16" s="296"/>
      <c r="N16" s="294" t="s">
        <v>44</v>
      </c>
      <c r="O16" s="295"/>
      <c r="P16" s="296"/>
      <c r="Q16" s="294" t="s">
        <v>138</v>
      </c>
      <c r="R16" s="295"/>
      <c r="S16" s="296"/>
      <c r="T16" s="64"/>
      <c r="U16" s="1">
        <v>11</v>
      </c>
      <c r="V16" s="46">
        <f t="shared" si="0"/>
        <v>22.964081477183584</v>
      </c>
      <c r="W16" s="46">
        <f t="shared" si="1"/>
        <v>26.944519572110114</v>
      </c>
      <c r="X16" s="46">
        <f t="shared" si="2"/>
        <v>29.638971529321136</v>
      </c>
      <c r="Y16" s="46">
        <f t="shared" si="3"/>
        <v>32.602868682253245</v>
      </c>
      <c r="Z16" s="46">
        <f t="shared" si="4"/>
        <v>35.863155550478567</v>
      </c>
      <c r="AA16" s="46">
        <f t="shared" si="5"/>
        <v>39.449471105526442</v>
      </c>
    </row>
    <row r="17" spans="1:27" ht="15" thickBot="1" x14ac:dyDescent="0.25">
      <c r="A17" s="300"/>
      <c r="B17" s="65" t="s">
        <v>139</v>
      </c>
      <c r="C17" s="66" t="s">
        <v>140</v>
      </c>
      <c r="D17" s="66" t="s">
        <v>141</v>
      </c>
      <c r="E17" s="67" t="s">
        <v>139</v>
      </c>
      <c r="F17" s="68" t="s">
        <v>140</v>
      </c>
      <c r="G17" s="69" t="s">
        <v>141</v>
      </c>
      <c r="H17" s="66" t="s">
        <v>139</v>
      </c>
      <c r="I17" s="66" t="s">
        <v>140</v>
      </c>
      <c r="J17" s="70" t="s">
        <v>141</v>
      </c>
      <c r="K17" s="65" t="s">
        <v>139</v>
      </c>
      <c r="L17" s="66" t="s">
        <v>140</v>
      </c>
      <c r="M17" s="70" t="s">
        <v>141</v>
      </c>
      <c r="N17" s="65" t="s">
        <v>139</v>
      </c>
      <c r="O17" s="66" t="s">
        <v>140</v>
      </c>
      <c r="P17" s="70" t="s">
        <v>141</v>
      </c>
      <c r="Q17" s="65" t="s">
        <v>139</v>
      </c>
      <c r="R17" s="66" t="s">
        <v>140</v>
      </c>
      <c r="S17" s="70" t="s">
        <v>141</v>
      </c>
      <c r="T17" s="71"/>
      <c r="U17" s="1">
        <v>12</v>
      </c>
      <c r="V17" s="46">
        <f t="shared" si="0"/>
        <v>23.538183514113172</v>
      </c>
      <c r="W17" s="46">
        <f t="shared" si="1"/>
        <v>27.618132561412864</v>
      </c>
      <c r="X17" s="46">
        <f t="shared" si="2"/>
        <v>30.379945817554162</v>
      </c>
      <c r="Y17" s="46">
        <f t="shared" si="3"/>
        <v>33.417940399309572</v>
      </c>
      <c r="Z17" s="46">
        <f t="shared" si="4"/>
        <v>36.759734439240525</v>
      </c>
      <c r="AA17" s="46">
        <f t="shared" si="5"/>
        <v>40.435707883164596</v>
      </c>
    </row>
    <row r="18" spans="1:27" x14ac:dyDescent="0.2">
      <c r="A18" s="72" t="s">
        <v>142</v>
      </c>
      <c r="B18" s="73">
        <f>H6</f>
        <v>17.501954875195317</v>
      </c>
      <c r="C18" s="73">
        <f>MEDIAN(B18,D18)</f>
        <v>18.174822999733099</v>
      </c>
      <c r="D18" s="73">
        <f>B18*((1.025)^3)</f>
        <v>18.847691124270881</v>
      </c>
      <c r="E18" s="74">
        <f>I6</f>
        <v>20.535625000000003</v>
      </c>
      <c r="F18" s="73">
        <f>MEDIAN(E18,G18)</f>
        <v>21.325123520507816</v>
      </c>
      <c r="G18" s="75">
        <f>E18*((1.025)^3)</f>
        <v>22.114622041015625</v>
      </c>
      <c r="H18" s="73">
        <f>K6</f>
        <v>22.589187500000005</v>
      </c>
      <c r="I18" s="73">
        <f>MEDIAN(H18,J18)</f>
        <v>23.457635872558598</v>
      </c>
      <c r="J18" s="75">
        <f>H18*((1.025)^3)</f>
        <v>24.32608424511719</v>
      </c>
      <c r="K18" s="74">
        <f>M6</f>
        <v>24.848106250000008</v>
      </c>
      <c r="L18" s="73">
        <f>MEDIAN(K18,M18)</f>
        <v>25.803399459814457</v>
      </c>
      <c r="M18" s="75">
        <f>K18*((1.025)^3)</f>
        <v>26.75869266962891</v>
      </c>
      <c r="N18" s="74">
        <f>N6</f>
        <v>27.332916875000009</v>
      </c>
      <c r="O18" s="73">
        <f>MEDIAN(N18,P18)</f>
        <v>28.383739405795907</v>
      </c>
      <c r="P18" s="75">
        <f>N18*((1.025)^3)</f>
        <v>29.434561936591802</v>
      </c>
      <c r="Q18" s="74">
        <f>O6</f>
        <v>30.066208562500012</v>
      </c>
      <c r="R18" s="73">
        <f>MEDIAN(Q18,S18)</f>
        <v>31.222113346375501</v>
      </c>
      <c r="S18" s="75">
        <f>Q18*((1.025)^3)</f>
        <v>32.378018130250986</v>
      </c>
      <c r="T18" s="73"/>
      <c r="U18" s="1">
        <v>13</v>
      </c>
      <c r="V18" s="46">
        <f t="shared" si="0"/>
        <v>24.126638101965998</v>
      </c>
      <c r="W18" s="46">
        <f t="shared" si="1"/>
        <v>28.308585875448184</v>
      </c>
      <c r="X18" s="46">
        <f t="shared" si="2"/>
        <v>31.139444462993012</v>
      </c>
      <c r="Y18" s="46">
        <f t="shared" si="3"/>
        <v>34.253388909292305</v>
      </c>
      <c r="Z18" s="46">
        <f t="shared" si="4"/>
        <v>37.678727800221537</v>
      </c>
      <c r="AA18" s="46">
        <f t="shared" si="5"/>
        <v>41.446600580243711</v>
      </c>
    </row>
    <row r="19" spans="1:27" x14ac:dyDescent="0.2">
      <c r="A19" s="76" t="s">
        <v>143</v>
      </c>
      <c r="B19" s="73">
        <f>B18*((1.025)^4)</f>
        <v>19.318883402377651</v>
      </c>
      <c r="C19" s="73">
        <f t="shared" ref="C19:C23" si="8">MEDIAN(B19,D19)</f>
        <v>19.807892638500334</v>
      </c>
      <c r="D19" s="73">
        <f>B18*((1.025)^6)</f>
        <v>20.296901874623014</v>
      </c>
      <c r="E19" s="74">
        <f>E18*((1.025)^4)</f>
        <v>22.667487592041013</v>
      </c>
      <c r="F19" s="73">
        <f t="shared" ref="F19:F23" si="9">MEDIAN(E19,G19)</f>
        <v>23.241258371714551</v>
      </c>
      <c r="G19" s="75">
        <f>E18*((1.025)^6)</f>
        <v>23.815029151388085</v>
      </c>
      <c r="H19" s="73">
        <f>H18*((1.025)^4)</f>
        <v>24.934236351245119</v>
      </c>
      <c r="I19" s="73">
        <f t="shared" ref="I19:I23" si="10">MEDIAN(H19,J19)</f>
        <v>25.565384208886009</v>
      </c>
      <c r="J19" s="75">
        <f>H18*((1.025)^6)</f>
        <v>26.196532066526895</v>
      </c>
      <c r="K19" s="74">
        <f>K18*((1.025)^4)</f>
        <v>27.427659986369633</v>
      </c>
      <c r="L19" s="73">
        <f t="shared" ref="L19:L23" si="11">MEDIAN(K19,M19)</f>
        <v>28.121922629774609</v>
      </c>
      <c r="M19" s="75">
        <f>K18*((1.025)^6)</f>
        <v>28.816185273179588</v>
      </c>
      <c r="N19" s="74">
        <f>N18*((1.025)^4)</f>
        <v>30.170425985006595</v>
      </c>
      <c r="O19" s="73">
        <f t="shared" ref="O19:O23" si="12">MEDIAN(N19,P19)</f>
        <v>30.934114892752071</v>
      </c>
      <c r="P19" s="75">
        <f>N18*((1.025)^6)</f>
        <v>31.69780380049755</v>
      </c>
      <c r="Q19" s="74">
        <f>Q18*((1.025)^4)</f>
        <v>33.187468583507261</v>
      </c>
      <c r="R19" s="73">
        <f t="shared" ref="R19:R23" si="13">MEDIAN(Q19,S19)</f>
        <v>34.027526382027283</v>
      </c>
      <c r="S19" s="75">
        <f>Q18*((1.025)^6)</f>
        <v>34.867584180547304</v>
      </c>
      <c r="T19" s="73"/>
      <c r="U19" s="1">
        <v>14</v>
      </c>
      <c r="V19" s="46">
        <f t="shared" si="0"/>
        <v>24.729804054515146</v>
      </c>
      <c r="W19" s="46">
        <f t="shared" si="1"/>
        <v>29.016300522334387</v>
      </c>
      <c r="X19" s="46">
        <f t="shared" si="2"/>
        <v>31.917930574567833</v>
      </c>
      <c r="Y19" s="46">
        <f t="shared" si="3"/>
        <v>35.109723632024611</v>
      </c>
      <c r="Z19" s="46">
        <f t="shared" si="4"/>
        <v>38.620695995227074</v>
      </c>
      <c r="AA19" s="46">
        <f t="shared" si="5"/>
        <v>42.4827655947498</v>
      </c>
    </row>
    <row r="20" spans="1:27" x14ac:dyDescent="0.2">
      <c r="A20" s="76" t="s">
        <v>144</v>
      </c>
      <c r="B20" s="73">
        <f>B18*((1.025)^7)</f>
        <v>20.804324421488591</v>
      </c>
      <c r="C20" s="73">
        <f t="shared" si="8"/>
        <v>21.330933883407518</v>
      </c>
      <c r="D20" s="73">
        <f>B18*((1.025)^9)</f>
        <v>21.857543345326444</v>
      </c>
      <c r="E20" s="74">
        <f>E18*((1.025)^7)</f>
        <v>24.410404880172791</v>
      </c>
      <c r="F20" s="73">
        <f t="shared" si="9"/>
        <v>25.028293253702159</v>
      </c>
      <c r="G20" s="75">
        <f>E18*((1.025)^9)</f>
        <v>25.646181627231531</v>
      </c>
      <c r="H20" s="73">
        <f>H18*((1.025)^7)</f>
        <v>26.85144536819007</v>
      </c>
      <c r="I20" s="73">
        <f t="shared" si="10"/>
        <v>27.531122579072377</v>
      </c>
      <c r="J20" s="75">
        <f>H18*((1.025)^9)</f>
        <v>28.210799789954685</v>
      </c>
      <c r="K20" s="74">
        <f>K18*((1.025)^7)</f>
        <v>29.53658990500908</v>
      </c>
      <c r="L20" s="73">
        <f t="shared" si="11"/>
        <v>30.284234836979621</v>
      </c>
      <c r="M20" s="75">
        <f>K18*((1.025)^9)</f>
        <v>31.031879768950159</v>
      </c>
      <c r="N20" s="74">
        <f>N18*((1.025)^7)</f>
        <v>32.490248895509993</v>
      </c>
      <c r="O20" s="73">
        <f t="shared" si="12"/>
        <v>33.312658320677585</v>
      </c>
      <c r="P20" s="75">
        <f>N18*((1.025)^9)</f>
        <v>34.135067745845177</v>
      </c>
      <c r="Q20" s="74">
        <f>Q18*((1.025)^7)</f>
        <v>35.739273785060988</v>
      </c>
      <c r="R20" s="73">
        <f t="shared" si="13"/>
        <v>36.643924152745342</v>
      </c>
      <c r="S20" s="75">
        <f>Q18*((1.025)^9)</f>
        <v>37.548574520429696</v>
      </c>
      <c r="T20" s="73"/>
      <c r="U20" s="1">
        <v>15</v>
      </c>
      <c r="V20" s="46">
        <f t="shared" si="0"/>
        <v>25.348049155878023</v>
      </c>
      <c r="W20" s="46">
        <f t="shared" si="1"/>
        <v>29.741708035392744</v>
      </c>
      <c r="X20" s="46">
        <f t="shared" si="2"/>
        <v>32.715878838932028</v>
      </c>
      <c r="Y20" s="46">
        <f t="shared" si="3"/>
        <v>35.987466722825225</v>
      </c>
      <c r="Z20" s="46">
        <f t="shared" si="4"/>
        <v>39.586213395107748</v>
      </c>
      <c r="AA20" s="46">
        <f t="shared" si="5"/>
        <v>43.54483473461854</v>
      </c>
    </row>
    <row r="21" spans="1:27" x14ac:dyDescent="0.2">
      <c r="A21" s="76" t="s">
        <v>145</v>
      </c>
      <c r="B21" s="73">
        <f>B18*((1.025)^10)</f>
        <v>22.403981928959606</v>
      </c>
      <c r="C21" s="73">
        <f t="shared" si="8"/>
        <v>22.971082721536398</v>
      </c>
      <c r="D21" s="73">
        <f>B18*((1.025)^12)</f>
        <v>23.538183514113186</v>
      </c>
      <c r="E21" s="74">
        <f>E18*((1.025)^10)</f>
        <v>26.287336167912319</v>
      </c>
      <c r="F21" s="73">
        <f t="shared" si="9"/>
        <v>26.952734364662597</v>
      </c>
      <c r="G21" s="75">
        <f>E18*((1.025)^12)</f>
        <v>27.618132561412878</v>
      </c>
      <c r="H21" s="73">
        <f>H18*((1.025)^10)</f>
        <v>28.916069784703552</v>
      </c>
      <c r="I21" s="73">
        <f t="shared" si="10"/>
        <v>29.648007801128859</v>
      </c>
      <c r="J21" s="75">
        <f>H18*((1.025)^12)</f>
        <v>30.379945817554166</v>
      </c>
      <c r="K21" s="74">
        <f>K18*((1.025)^10)</f>
        <v>31.807676763173912</v>
      </c>
      <c r="L21" s="73">
        <f t="shared" si="11"/>
        <v>32.612808581241751</v>
      </c>
      <c r="M21" s="75">
        <f>K18*((1.025)^12)</f>
        <v>33.417940399309586</v>
      </c>
      <c r="N21" s="74">
        <f>N18*((1.025)^10)</f>
        <v>34.988444439491303</v>
      </c>
      <c r="O21" s="73">
        <f t="shared" si="12"/>
        <v>35.874089439365925</v>
      </c>
      <c r="P21" s="75">
        <f>N18*((1.025)^12)</f>
        <v>36.759734439240546</v>
      </c>
      <c r="Q21" s="74">
        <f>Q18*((1.025)^10)</f>
        <v>38.487288883440435</v>
      </c>
      <c r="R21" s="73">
        <f t="shared" si="13"/>
        <v>39.461498383302519</v>
      </c>
      <c r="S21" s="75">
        <f>Q18*((1.025)^12)</f>
        <v>40.435707883164604</v>
      </c>
      <c r="T21" s="73"/>
      <c r="U21" s="1">
        <v>16</v>
      </c>
      <c r="V21" s="46">
        <f t="shared" si="0"/>
        <v>25.981750384774973</v>
      </c>
      <c r="W21" s="46">
        <f t="shared" si="1"/>
        <v>30.48525073627756</v>
      </c>
      <c r="X21" s="46">
        <f t="shared" si="2"/>
        <v>33.533775809905329</v>
      </c>
      <c r="Y21" s="46">
        <f t="shared" si="3"/>
        <v>36.887153390895854</v>
      </c>
      <c r="Z21" s="46">
        <f t="shared" si="4"/>
        <v>40.575868729985437</v>
      </c>
      <c r="AA21" s="46">
        <f t="shared" si="5"/>
        <v>44.633455602984</v>
      </c>
    </row>
    <row r="22" spans="1:27" x14ac:dyDescent="0.2">
      <c r="A22" s="76" t="s">
        <v>146</v>
      </c>
      <c r="B22" s="73">
        <f>B18*((1.025)^13)</f>
        <v>24.126638101966012</v>
      </c>
      <c r="C22" s="73">
        <f t="shared" si="8"/>
        <v>24.737343628922027</v>
      </c>
      <c r="D22" s="73">
        <f>B18*((1.025)^15)</f>
        <v>25.348049155878044</v>
      </c>
      <c r="E22" s="74">
        <f>E18*((1.025)^13)</f>
        <v>28.308585875448198</v>
      </c>
      <c r="F22" s="73">
        <f t="shared" si="9"/>
        <v>29.025146955420482</v>
      </c>
      <c r="G22" s="75">
        <f>E18*((1.025)^15)</f>
        <v>29.741708035392765</v>
      </c>
      <c r="H22" s="73">
        <f>H18*((1.025)^13)</f>
        <v>31.139444462993019</v>
      </c>
      <c r="I22" s="73">
        <f t="shared" si="10"/>
        <v>31.927661650962531</v>
      </c>
      <c r="J22" s="75">
        <f>H18*((1.025)^15)</f>
        <v>32.715878838932042</v>
      </c>
      <c r="K22" s="74">
        <f>K18*((1.025)^13)</f>
        <v>34.253388909292326</v>
      </c>
      <c r="L22" s="73">
        <f t="shared" si="11"/>
        <v>35.120427816058793</v>
      </c>
      <c r="M22" s="75">
        <f>K18*((1.025)^15)</f>
        <v>35.987466722825253</v>
      </c>
      <c r="N22" s="74">
        <f>N18*((1.025)^13)</f>
        <v>37.678727800221559</v>
      </c>
      <c r="O22" s="73">
        <f t="shared" si="12"/>
        <v>38.632470597664664</v>
      </c>
      <c r="P22" s="75">
        <f>N18*((1.025)^15)</f>
        <v>39.586213395107777</v>
      </c>
      <c r="Q22" s="74">
        <f>Q18*((1.025)^13)</f>
        <v>41.446600580243718</v>
      </c>
      <c r="R22" s="73">
        <f t="shared" si="13"/>
        <v>42.495717657431143</v>
      </c>
      <c r="S22" s="75">
        <f>Q18*((1.025)^15)</f>
        <v>43.544834734618561</v>
      </c>
      <c r="T22" s="73"/>
      <c r="U22" s="1">
        <v>17</v>
      </c>
      <c r="V22" s="46">
        <f t="shared" si="0"/>
        <v>26.631294144394346</v>
      </c>
      <c r="W22" s="46">
        <f t="shared" si="1"/>
        <v>31.247382004684496</v>
      </c>
      <c r="X22" s="46">
        <f t="shared" si="2"/>
        <v>34.37212020515296</v>
      </c>
      <c r="Y22" s="46">
        <f t="shared" si="3"/>
        <v>37.80933222566825</v>
      </c>
      <c r="Z22" s="46">
        <f t="shared" si="4"/>
        <v>41.590265448235073</v>
      </c>
      <c r="AA22" s="46">
        <f t="shared" si="5"/>
        <v>45.749291993058598</v>
      </c>
    </row>
    <row r="23" spans="1:27" x14ac:dyDescent="0.2">
      <c r="A23" s="76" t="s">
        <v>147</v>
      </c>
      <c r="B23" s="73">
        <f>B18*((1.025)^16)</f>
        <v>25.981750384774994</v>
      </c>
      <c r="C23" s="73">
        <f t="shared" si="8"/>
        <v>27.330370690245338</v>
      </c>
      <c r="D23" s="73">
        <f>B18*((1.025)^20)</f>
        <v>28.678990995715683</v>
      </c>
      <c r="E23" s="74">
        <f>E18*((1.025)^16)</f>
        <v>30.485250736277582</v>
      </c>
      <c r="F23" s="73">
        <f t="shared" si="9"/>
        <v>32.067631736458019</v>
      </c>
      <c r="G23" s="75">
        <f>E18*((1.025)^20)</f>
        <v>33.650012736638459</v>
      </c>
      <c r="H23" s="74">
        <f>H18*((1.025)^16)</f>
        <v>33.533775809905343</v>
      </c>
      <c r="I23" s="73">
        <f t="shared" si="10"/>
        <v>35.274394910103823</v>
      </c>
      <c r="J23" s="75">
        <f>H18*((1.025)^20)</f>
        <v>37.015014010302309</v>
      </c>
      <c r="K23" s="73">
        <f>K18*((1.025)^16)</f>
        <v>36.887153390895882</v>
      </c>
      <c r="L23" s="73">
        <f t="shared" si="11"/>
        <v>38.801834401114213</v>
      </c>
      <c r="M23" s="75">
        <f>K18*((1.025)^20)</f>
        <v>40.716515411332544</v>
      </c>
      <c r="N23" s="73">
        <f>N18*((1.025)^16)</f>
        <v>40.575868729985466</v>
      </c>
      <c r="O23" s="73">
        <f t="shared" si="12"/>
        <v>42.68201784122563</v>
      </c>
      <c r="P23" s="73">
        <f>N18*((1.025)^20)</f>
        <v>44.788166952465801</v>
      </c>
      <c r="Q23" s="74">
        <f>Q18*((1.025)^16)</f>
        <v>44.633455602984021</v>
      </c>
      <c r="R23" s="73">
        <f t="shared" si="13"/>
        <v>46.950219625348197</v>
      </c>
      <c r="S23" s="75">
        <f>Q18*((1.025)^20)</f>
        <v>49.266983647712379</v>
      </c>
      <c r="T23" s="73"/>
      <c r="U23" s="1">
        <v>18</v>
      </c>
      <c r="V23" s="46">
        <f t="shared" si="0"/>
        <v>27.297076498004202</v>
      </c>
      <c r="W23" s="46">
        <f t="shared" si="1"/>
        <v>32.028566554801607</v>
      </c>
      <c r="X23" s="46">
        <f t="shared" si="2"/>
        <v>35.231423210281783</v>
      </c>
      <c r="Y23" s="46">
        <f t="shared" si="3"/>
        <v>38.75456553130995</v>
      </c>
      <c r="Z23" s="46">
        <f t="shared" si="4"/>
        <v>42.630022084440945</v>
      </c>
      <c r="AA23" s="46">
        <f t="shared" si="5"/>
        <v>46.893024292885059</v>
      </c>
    </row>
    <row r="24" spans="1:27" ht="15" x14ac:dyDescent="0.25">
      <c r="A24" s="44"/>
      <c r="B24" s="36"/>
      <c r="C24" s="46"/>
      <c r="D24" s="36"/>
      <c r="E24" s="81"/>
      <c r="F24" s="81"/>
      <c r="G24" s="81"/>
      <c r="H24" s="81"/>
      <c r="I24" s="73"/>
      <c r="J24" s="73"/>
      <c r="M24" s="40"/>
      <c r="P24" s="1"/>
      <c r="U24" s="1">
        <v>19</v>
      </c>
      <c r="V24" s="46">
        <f t="shared" si="0"/>
        <v>27.979503410454306</v>
      </c>
      <c r="W24" s="46">
        <f t="shared" si="1"/>
        <v>32.829280718671647</v>
      </c>
      <c r="X24" s="46">
        <f t="shared" si="2"/>
        <v>36.112208790538823</v>
      </c>
      <c r="Y24" s="46">
        <f t="shared" si="3"/>
        <v>39.723429669592697</v>
      </c>
      <c r="Z24" s="46">
        <f t="shared" si="4"/>
        <v>43.695772636551965</v>
      </c>
      <c r="AA24" s="46">
        <f t="shared" si="5"/>
        <v>48.065349900207181</v>
      </c>
    </row>
    <row r="25" spans="1:27" ht="15" x14ac:dyDescent="0.25">
      <c r="A25" s="44"/>
      <c r="B25" s="36"/>
      <c r="C25" s="46"/>
      <c r="D25" s="36"/>
      <c r="E25" s="81"/>
      <c r="F25" s="81"/>
      <c r="G25" s="81"/>
      <c r="H25" s="81"/>
      <c r="I25" s="73"/>
      <c r="J25" s="73"/>
      <c r="M25" s="40"/>
      <c r="P25" s="1"/>
      <c r="U25" s="1">
        <v>20</v>
      </c>
      <c r="V25" s="46">
        <f t="shared" si="0"/>
        <v>28.678990995715662</v>
      </c>
      <c r="W25" s="46">
        <f t="shared" si="1"/>
        <v>33.650012736638438</v>
      </c>
      <c r="X25" s="46">
        <f t="shared" si="2"/>
        <v>37.015014010302288</v>
      </c>
      <c r="Y25" s="46">
        <f t="shared" si="3"/>
        <v>40.716515411332509</v>
      </c>
      <c r="Z25" s="46">
        <f t="shared" si="4"/>
        <v>44.788166952465758</v>
      </c>
      <c r="AA25" s="46">
        <f t="shared" si="5"/>
        <v>49.266983647712358</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240</v>
      </c>
      <c r="B28" s="28"/>
      <c r="C28" s="28"/>
      <c r="D28" s="28"/>
      <c r="E28" s="28"/>
      <c r="F28" s="28"/>
      <c r="G28" s="28"/>
      <c r="H28" s="28"/>
      <c r="I28" s="28"/>
      <c r="J28" s="28"/>
      <c r="K28" s="28"/>
      <c r="L28" s="28"/>
      <c r="M28" s="28"/>
      <c r="N28" s="28"/>
      <c r="O28" s="28"/>
      <c r="P28" s="28"/>
      <c r="Q28" s="28"/>
      <c r="R28" s="28"/>
      <c r="S28" s="28"/>
      <c r="V28" s="310" t="s">
        <v>52</v>
      </c>
      <c r="W28" s="310"/>
      <c r="X28" s="310"/>
      <c r="Y28" s="310"/>
      <c r="Z28" s="310"/>
      <c r="AA28" s="310"/>
    </row>
    <row r="29" spans="1:27" ht="15.75" thickBot="1" x14ac:dyDescent="0.3">
      <c r="A29" s="298" t="s">
        <v>135</v>
      </c>
      <c r="B29" s="303" t="s">
        <v>32</v>
      </c>
      <c r="C29" s="282"/>
      <c r="D29" s="282"/>
      <c r="E29" s="282" t="s">
        <v>32</v>
      </c>
      <c r="F29" s="282"/>
      <c r="G29" s="282"/>
      <c r="H29" s="282" t="s">
        <v>33</v>
      </c>
      <c r="I29" s="282"/>
      <c r="J29" s="282"/>
      <c r="K29" s="282" t="s">
        <v>34</v>
      </c>
      <c r="L29" s="282"/>
      <c r="M29" s="282"/>
      <c r="N29" s="282" t="s">
        <v>34</v>
      </c>
      <c r="O29" s="282"/>
      <c r="P29" s="297"/>
      <c r="Q29" s="282" t="s">
        <v>34</v>
      </c>
      <c r="R29" s="282"/>
      <c r="S29" s="297"/>
      <c r="U29" s="1" t="s">
        <v>128</v>
      </c>
      <c r="V29" s="44" t="s">
        <v>129</v>
      </c>
      <c r="W29" s="44" t="s">
        <v>47</v>
      </c>
      <c r="X29" s="44" t="s">
        <v>49</v>
      </c>
      <c r="Y29" s="44" t="s">
        <v>130</v>
      </c>
      <c r="Z29" s="44" t="s">
        <v>131</v>
      </c>
      <c r="AA29" s="44" t="s">
        <v>132</v>
      </c>
    </row>
    <row r="30" spans="1:27" ht="15" x14ac:dyDescent="0.2">
      <c r="A30" s="299"/>
      <c r="B30" s="304" t="s">
        <v>149</v>
      </c>
      <c r="C30" s="305"/>
      <c r="D30" s="311"/>
      <c r="E30" s="294" t="s">
        <v>127</v>
      </c>
      <c r="F30" s="295"/>
      <c r="G30" s="295"/>
      <c r="H30" s="276" t="s">
        <v>42</v>
      </c>
      <c r="I30" s="277"/>
      <c r="J30" s="278"/>
      <c r="K30" s="294" t="s">
        <v>43</v>
      </c>
      <c r="L30" s="295"/>
      <c r="M30" s="296"/>
      <c r="N30" s="294" t="s">
        <v>44</v>
      </c>
      <c r="O30" s="295"/>
      <c r="P30" s="296"/>
      <c r="Q30" s="294" t="s">
        <v>150</v>
      </c>
      <c r="R30" s="295"/>
      <c r="S30" s="296"/>
      <c r="U30" s="1">
        <v>0</v>
      </c>
      <c r="V30" s="46">
        <f>H8</f>
        <v>15.910868068359376</v>
      </c>
      <c r="W30" s="46">
        <f>I8</f>
        <v>18.668750000000003</v>
      </c>
      <c r="X30" s="46">
        <f>K8</f>
        <v>20.535625000000003</v>
      </c>
      <c r="Y30" s="46">
        <f>M8</f>
        <v>22.589187500000005</v>
      </c>
      <c r="Z30" s="46">
        <f>N8</f>
        <v>24.848106250000008</v>
      </c>
      <c r="AA30" s="46">
        <f>O8</f>
        <v>27.332916875000009</v>
      </c>
    </row>
    <row r="31" spans="1:27" ht="15" thickBot="1" x14ac:dyDescent="0.25">
      <c r="A31" s="300"/>
      <c r="B31" s="65" t="s">
        <v>139</v>
      </c>
      <c r="C31" s="66" t="s">
        <v>140</v>
      </c>
      <c r="D31" s="70" t="s">
        <v>141</v>
      </c>
      <c r="E31" s="68" t="s">
        <v>139</v>
      </c>
      <c r="F31" s="68" t="s">
        <v>140</v>
      </c>
      <c r="G31" s="68" t="s">
        <v>141</v>
      </c>
      <c r="H31" s="65" t="s">
        <v>139</v>
      </c>
      <c r="I31" s="66" t="s">
        <v>140</v>
      </c>
      <c r="J31" s="70" t="s">
        <v>141</v>
      </c>
      <c r="K31" s="65" t="s">
        <v>139</v>
      </c>
      <c r="L31" s="66" t="s">
        <v>140</v>
      </c>
      <c r="M31" s="70" t="s">
        <v>141</v>
      </c>
      <c r="N31" s="65" t="s">
        <v>139</v>
      </c>
      <c r="O31" s="66" t="s">
        <v>140</v>
      </c>
      <c r="P31" s="70" t="s">
        <v>141</v>
      </c>
      <c r="Q31" s="65" t="s">
        <v>139</v>
      </c>
      <c r="R31" s="66" t="s">
        <v>140</v>
      </c>
      <c r="S31" s="70" t="s">
        <v>141</v>
      </c>
      <c r="U31" s="1">
        <v>1</v>
      </c>
      <c r="V31" s="46">
        <f t="shared" ref="V31:V50" si="14">V30*1.025</f>
        <v>16.308639770068357</v>
      </c>
      <c r="W31" s="46">
        <f t="shared" ref="W31:W50" si="15">W30*1.025</f>
        <v>19.135468750000001</v>
      </c>
      <c r="X31" s="46">
        <f t="shared" ref="X31:X50" si="16">X30*1.025</f>
        <v>21.049015625000003</v>
      </c>
      <c r="Y31" s="46">
        <f t="shared" ref="Y31:Y50" si="17">Y30*1.025</f>
        <v>23.153917187500003</v>
      </c>
      <c r="Z31" s="46">
        <f t="shared" ref="Z31:Z50" si="18">Z30*1.025</f>
        <v>25.469308906250006</v>
      </c>
      <c r="AA31" s="46">
        <f t="shared" ref="AA31:AA50" si="19">AA30*1.025</f>
        <v>28.016239796875006</v>
      </c>
    </row>
    <row r="32" spans="1:27" x14ac:dyDescent="0.2">
      <c r="A32" s="72" t="s">
        <v>142</v>
      </c>
      <c r="B32" s="73">
        <f>F8</f>
        <v>15.910868068359376</v>
      </c>
      <c r="C32" s="73">
        <f>MEDIAN(B32,D32)</f>
        <v>16.522566363393722</v>
      </c>
      <c r="D32" s="75">
        <f>B32*((1.025)^3)</f>
        <v>17.134264658428069</v>
      </c>
      <c r="E32" s="73">
        <f>I8</f>
        <v>18.668750000000003</v>
      </c>
      <c r="F32" s="73">
        <f>MEDIAN(E32,G32)</f>
        <v>19.386475927734377</v>
      </c>
      <c r="G32" s="73">
        <f>E32*((1.025)^3)</f>
        <v>20.104201855468752</v>
      </c>
      <c r="H32" s="74">
        <f>K8</f>
        <v>20.535625000000003</v>
      </c>
      <c r="I32" s="73">
        <f>MEDIAN(H32,J32)</f>
        <v>21.325123520507816</v>
      </c>
      <c r="J32" s="75">
        <f>H32*((1.025)^3)</f>
        <v>22.114622041015625</v>
      </c>
      <c r="K32" s="74">
        <f>M8</f>
        <v>22.589187500000005</v>
      </c>
      <c r="L32" s="73">
        <f>MEDIAN(K32,M32)</f>
        <v>23.457635872558598</v>
      </c>
      <c r="M32" s="75">
        <f>K32*((1.025)^3)</f>
        <v>24.32608424511719</v>
      </c>
      <c r="N32" s="74">
        <f>N8</f>
        <v>24.848106250000008</v>
      </c>
      <c r="O32" s="73">
        <f>MEDIAN(N32,P32)</f>
        <v>25.803399459814457</v>
      </c>
      <c r="P32" s="75">
        <f>N32*((1.025)^3)</f>
        <v>26.75869266962891</v>
      </c>
      <c r="Q32" s="74">
        <f>O8</f>
        <v>27.332916875000009</v>
      </c>
      <c r="R32" s="73">
        <f>MEDIAN(Q32,S32)</f>
        <v>28.383739405795907</v>
      </c>
      <c r="S32" s="75">
        <f>Q32*((1.025)^3)</f>
        <v>29.434561936591802</v>
      </c>
      <c r="U32" s="1">
        <v>2</v>
      </c>
      <c r="V32" s="46">
        <f t="shared" si="14"/>
        <v>16.716355764320063</v>
      </c>
      <c r="W32" s="46">
        <f t="shared" si="15"/>
        <v>19.61385546875</v>
      </c>
      <c r="X32" s="46">
        <f t="shared" si="16"/>
        <v>21.575241015625</v>
      </c>
      <c r="Y32" s="46">
        <f t="shared" si="17"/>
        <v>23.732765117187501</v>
      </c>
      <c r="Z32" s="46">
        <f t="shared" si="18"/>
        <v>26.106041628906254</v>
      </c>
      <c r="AA32" s="46">
        <f t="shared" si="19"/>
        <v>28.716645791796878</v>
      </c>
    </row>
    <row r="33" spans="1:27" x14ac:dyDescent="0.2">
      <c r="A33" s="76" t="s">
        <v>143</v>
      </c>
      <c r="B33" s="73">
        <f>B32*((1.025)^4)</f>
        <v>17.56262127488877</v>
      </c>
      <c r="C33" s="73">
        <f t="shared" ref="C33:C37" si="20">MEDIAN(B33,D33)</f>
        <v>18.007175125909392</v>
      </c>
      <c r="D33" s="75">
        <f>B32*((1.025)^6)</f>
        <v>18.45172897693001</v>
      </c>
      <c r="E33" s="73">
        <f>E32*((1.025)^4)</f>
        <v>20.606806901855467</v>
      </c>
      <c r="F33" s="73">
        <f t="shared" ref="F33:F37" si="21">MEDIAN(E33,G33)</f>
        <v>21.128416701558685</v>
      </c>
      <c r="G33" s="73">
        <f>E32*((1.025)^6)</f>
        <v>21.650026501261898</v>
      </c>
      <c r="H33" s="74">
        <f>H32*((1.025)^4)</f>
        <v>22.667487592041013</v>
      </c>
      <c r="I33" s="73">
        <f t="shared" ref="I33:I37" si="22">MEDIAN(H33,J33)</f>
        <v>23.241258371714551</v>
      </c>
      <c r="J33" s="75">
        <f>H32*((1.025)^6)</f>
        <v>23.815029151388085</v>
      </c>
      <c r="K33" s="74">
        <f>K32*((1.025)^4)</f>
        <v>24.934236351245119</v>
      </c>
      <c r="L33" s="73">
        <f t="shared" ref="L33:L37" si="23">MEDIAN(K33,M33)</f>
        <v>25.565384208886009</v>
      </c>
      <c r="M33" s="75">
        <f>K32*((1.025)^6)</f>
        <v>26.196532066526895</v>
      </c>
      <c r="N33" s="74">
        <f>N32*((1.025)^4)</f>
        <v>27.427659986369633</v>
      </c>
      <c r="O33" s="73">
        <f t="shared" ref="O33:O37" si="24">MEDIAN(N33,P33)</f>
        <v>28.121922629774609</v>
      </c>
      <c r="P33" s="75">
        <f>N32*((1.025)^6)</f>
        <v>28.816185273179588</v>
      </c>
      <c r="Q33" s="74">
        <f>Q32*((1.025)^4)</f>
        <v>30.170425985006595</v>
      </c>
      <c r="R33" s="73">
        <f t="shared" ref="R33:R37" si="25">MEDIAN(Q33,S33)</f>
        <v>30.934114892752071</v>
      </c>
      <c r="S33" s="75">
        <f>Q32*((1.025)^6)</f>
        <v>31.69780380049755</v>
      </c>
      <c r="U33" s="1">
        <v>3</v>
      </c>
      <c r="V33" s="46">
        <f t="shared" si="14"/>
        <v>17.134264658428062</v>
      </c>
      <c r="W33" s="46">
        <f t="shared" si="15"/>
        <v>20.104201855468748</v>
      </c>
      <c r="X33" s="46">
        <f t="shared" si="16"/>
        <v>22.114622041015622</v>
      </c>
      <c r="Y33" s="46">
        <f t="shared" si="17"/>
        <v>24.326084245117187</v>
      </c>
      <c r="Z33" s="46">
        <f t="shared" si="18"/>
        <v>26.758692669628907</v>
      </c>
      <c r="AA33" s="46">
        <f t="shared" si="19"/>
        <v>29.434561936591798</v>
      </c>
    </row>
    <row r="34" spans="1:27" x14ac:dyDescent="0.2">
      <c r="A34" s="76" t="s">
        <v>144</v>
      </c>
      <c r="B34" s="73">
        <f>B32*((1.025)^7)</f>
        <v>18.913022201353261</v>
      </c>
      <c r="C34" s="73">
        <f t="shared" si="20"/>
        <v>19.391758075825013</v>
      </c>
      <c r="D34" s="75">
        <f>B32*((1.025)^9)</f>
        <v>19.870493950296765</v>
      </c>
      <c r="E34" s="73">
        <f>E32*((1.025)^7)</f>
        <v>22.191277163793444</v>
      </c>
      <c r="F34" s="73">
        <f t="shared" si="21"/>
        <v>22.752993867001962</v>
      </c>
      <c r="G34" s="73">
        <f>E32*((1.025)^9)</f>
        <v>23.314710570210483</v>
      </c>
      <c r="H34" s="74">
        <f>H32*((1.025)^7)</f>
        <v>24.410404880172791</v>
      </c>
      <c r="I34" s="73">
        <f t="shared" si="22"/>
        <v>25.028293253702159</v>
      </c>
      <c r="J34" s="75">
        <f>H32*((1.025)^9)</f>
        <v>25.646181627231531</v>
      </c>
      <c r="K34" s="74">
        <f>K32*((1.025)^7)</f>
        <v>26.85144536819007</v>
      </c>
      <c r="L34" s="73">
        <f t="shared" si="23"/>
        <v>27.531122579072377</v>
      </c>
      <c r="M34" s="75">
        <f>K32*((1.025)^9)</f>
        <v>28.210799789954685</v>
      </c>
      <c r="N34" s="74">
        <f>N32*((1.025)^7)</f>
        <v>29.53658990500908</v>
      </c>
      <c r="O34" s="73">
        <f t="shared" si="24"/>
        <v>30.284234836979621</v>
      </c>
      <c r="P34" s="75">
        <f>N32*((1.025)^9)</f>
        <v>31.031879768950159</v>
      </c>
      <c r="Q34" s="74">
        <f>Q32*((1.025)^7)</f>
        <v>32.490248895509993</v>
      </c>
      <c r="R34" s="73">
        <f t="shared" si="25"/>
        <v>33.312658320677585</v>
      </c>
      <c r="S34" s="75">
        <f>Q32*((1.025)^9)</f>
        <v>34.135067745845177</v>
      </c>
      <c r="U34" s="1">
        <v>4</v>
      </c>
      <c r="V34" s="46">
        <f t="shared" si="14"/>
        <v>17.562621274888762</v>
      </c>
      <c r="W34" s="46">
        <f t="shared" si="15"/>
        <v>20.606806901855464</v>
      </c>
      <c r="X34" s="46">
        <f t="shared" si="16"/>
        <v>22.667487592041009</v>
      </c>
      <c r="Y34" s="46">
        <f t="shared" si="17"/>
        <v>24.934236351245115</v>
      </c>
      <c r="Z34" s="46">
        <f t="shared" si="18"/>
        <v>27.427659986369626</v>
      </c>
      <c r="AA34" s="46">
        <f t="shared" si="19"/>
        <v>30.170425985006592</v>
      </c>
    </row>
    <row r="35" spans="1:27" x14ac:dyDescent="0.2">
      <c r="A35" s="76" t="s">
        <v>145</v>
      </c>
      <c r="B35" s="73">
        <f>B32*((1.025)^10)</f>
        <v>20.367256299054183</v>
      </c>
      <c r="C35" s="73">
        <f t="shared" si="20"/>
        <v>20.882802474123991</v>
      </c>
      <c r="D35" s="75">
        <f>B32*((1.025)^12)</f>
        <v>21.3983486491938</v>
      </c>
      <c r="E35" s="73">
        <f>E32*((1.025)^10)</f>
        <v>23.897578334465745</v>
      </c>
      <c r="F35" s="73">
        <f t="shared" si="21"/>
        <v>24.502485786056909</v>
      </c>
      <c r="G35" s="73">
        <f>E32*((1.025)^12)</f>
        <v>25.107393237648072</v>
      </c>
      <c r="H35" s="74">
        <f>H32*((1.025)^10)</f>
        <v>26.287336167912319</v>
      </c>
      <c r="I35" s="73">
        <f t="shared" si="22"/>
        <v>26.952734364662597</v>
      </c>
      <c r="J35" s="75">
        <f>H32*((1.025)^12)</f>
        <v>27.618132561412878</v>
      </c>
      <c r="K35" s="74">
        <f>K32*((1.025)^10)</f>
        <v>28.916069784703552</v>
      </c>
      <c r="L35" s="73">
        <f t="shared" si="23"/>
        <v>29.648007801128859</v>
      </c>
      <c r="M35" s="75">
        <f>K32*((1.025)^12)</f>
        <v>30.379945817554166</v>
      </c>
      <c r="N35" s="74">
        <f>N32*((1.025)^10)</f>
        <v>31.807676763173912</v>
      </c>
      <c r="O35" s="73">
        <f t="shared" si="24"/>
        <v>32.612808581241751</v>
      </c>
      <c r="P35" s="75">
        <f>N32*((1.025)^12)</f>
        <v>33.417940399309586</v>
      </c>
      <c r="Q35" s="74">
        <f>Q32*((1.025)^10)</f>
        <v>34.988444439491303</v>
      </c>
      <c r="R35" s="73">
        <f t="shared" si="25"/>
        <v>35.874089439365925</v>
      </c>
      <c r="S35" s="75">
        <f>Q32*((1.025)^12)</f>
        <v>36.759734439240546</v>
      </c>
      <c r="U35" s="1">
        <v>5</v>
      </c>
      <c r="V35" s="46">
        <f t="shared" si="14"/>
        <v>18.001686806760979</v>
      </c>
      <c r="W35" s="46">
        <f t="shared" si="15"/>
        <v>21.121977074401848</v>
      </c>
      <c r="X35" s="46">
        <f t="shared" si="16"/>
        <v>23.234174781842032</v>
      </c>
      <c r="Y35" s="46">
        <f t="shared" si="17"/>
        <v>25.55759226002624</v>
      </c>
      <c r="Z35" s="46">
        <f t="shared" si="18"/>
        <v>28.113351486028865</v>
      </c>
      <c r="AA35" s="46">
        <f t="shared" si="19"/>
        <v>30.924686634631755</v>
      </c>
    </row>
    <row r="36" spans="1:27" x14ac:dyDescent="0.2">
      <c r="A36" s="76" t="s">
        <v>146</v>
      </c>
      <c r="B36" s="73">
        <f>B32*((1.025)^13)</f>
        <v>21.933307365423644</v>
      </c>
      <c r="C36" s="73">
        <f t="shared" si="20"/>
        <v>22.488494208110929</v>
      </c>
      <c r="D36" s="73">
        <f>B32*((1.025)^15)</f>
        <v>23.043681050798217</v>
      </c>
      <c r="E36" s="74">
        <f>E32*((1.025)^13)</f>
        <v>25.735078068589271</v>
      </c>
      <c r="F36" s="73">
        <f t="shared" si="21"/>
        <v>26.386497232200437</v>
      </c>
      <c r="G36" s="75">
        <f>E32*((1.025)^15)</f>
        <v>27.037916395811603</v>
      </c>
      <c r="H36" s="73">
        <f>H32*((1.025)^13)</f>
        <v>28.308585875448198</v>
      </c>
      <c r="I36" s="73">
        <f t="shared" si="22"/>
        <v>29.025146955420482</v>
      </c>
      <c r="J36" s="75">
        <f>H32*((1.025)^15)</f>
        <v>29.741708035392765</v>
      </c>
      <c r="K36" s="74">
        <f>K32*((1.025)^13)</f>
        <v>31.139444462993019</v>
      </c>
      <c r="L36" s="73">
        <f t="shared" si="23"/>
        <v>31.927661650962531</v>
      </c>
      <c r="M36" s="75">
        <f>K32*((1.025)^15)</f>
        <v>32.715878838932042</v>
      </c>
      <c r="N36" s="74">
        <f>N32*((1.025)^13)</f>
        <v>34.253388909292326</v>
      </c>
      <c r="O36" s="73">
        <f t="shared" si="24"/>
        <v>35.120427816058793</v>
      </c>
      <c r="P36" s="75">
        <f>N32*((1.025)^15)</f>
        <v>35.987466722825253</v>
      </c>
      <c r="Q36" s="74">
        <f>Q32*((1.025)^13)</f>
        <v>37.678727800221559</v>
      </c>
      <c r="R36" s="73">
        <f t="shared" si="25"/>
        <v>38.632470597664664</v>
      </c>
      <c r="S36" s="75">
        <f>Q32*((1.025)^15)</f>
        <v>39.586213395107777</v>
      </c>
      <c r="T36" s="46"/>
      <c r="U36" s="1">
        <v>6</v>
      </c>
      <c r="V36" s="46">
        <f t="shared" si="14"/>
        <v>18.451728976930003</v>
      </c>
      <c r="W36" s="46">
        <f t="shared" si="15"/>
        <v>21.650026501261891</v>
      </c>
      <c r="X36" s="46">
        <f t="shared" si="16"/>
        <v>23.815029151388082</v>
      </c>
      <c r="Y36" s="46">
        <f t="shared" si="17"/>
        <v>26.196532066526895</v>
      </c>
      <c r="Z36" s="46">
        <f t="shared" si="18"/>
        <v>28.816185273179585</v>
      </c>
      <c r="AA36" s="46">
        <f t="shared" si="19"/>
        <v>31.697803800497546</v>
      </c>
    </row>
    <row r="37" spans="1:27" x14ac:dyDescent="0.2">
      <c r="A37" s="76" t="s">
        <v>147</v>
      </c>
      <c r="B37" s="73">
        <f>B32*((1.025)^16)</f>
        <v>23.619773077068171</v>
      </c>
      <c r="C37" s="73">
        <f t="shared" si="20"/>
        <v>24.845791536586667</v>
      </c>
      <c r="D37" s="73">
        <f>B32*((1.025)^20)</f>
        <v>26.071809996105163</v>
      </c>
      <c r="E37" s="74">
        <f>E32*((1.025)^16)</f>
        <v>27.713864305706892</v>
      </c>
      <c r="F37" s="73">
        <f t="shared" si="21"/>
        <v>29.152392487689109</v>
      </c>
      <c r="G37" s="75">
        <f>E32*((1.025)^20)</f>
        <v>30.590920669671327</v>
      </c>
      <c r="H37" s="74">
        <f>H32*((1.025)^16)</f>
        <v>30.485250736277582</v>
      </c>
      <c r="I37" s="73">
        <f t="shared" si="22"/>
        <v>32.067631736458019</v>
      </c>
      <c r="J37" s="75">
        <f>H32*((1.025)^20)</f>
        <v>33.650012736638459</v>
      </c>
      <c r="K37" s="73">
        <f>K32*((1.025)^16)</f>
        <v>33.533775809905343</v>
      </c>
      <c r="L37" s="73">
        <f t="shared" si="23"/>
        <v>35.274394910103823</v>
      </c>
      <c r="M37" s="75">
        <f>K32*((1.025)^20)</f>
        <v>37.015014010302309</v>
      </c>
      <c r="N37" s="73">
        <f>N32*((1.025)^16)</f>
        <v>36.887153390895882</v>
      </c>
      <c r="O37" s="73">
        <f t="shared" si="24"/>
        <v>38.801834401114213</v>
      </c>
      <c r="P37" s="73">
        <f>N32*((1.025)^20)</f>
        <v>40.716515411332544</v>
      </c>
      <c r="Q37" s="74">
        <f>Q32*((1.025)^16)</f>
        <v>40.575868729985466</v>
      </c>
      <c r="R37" s="73">
        <f t="shared" si="25"/>
        <v>42.68201784122563</v>
      </c>
      <c r="S37" s="75">
        <f>Q32*((1.025)^20)</f>
        <v>44.788166952465801</v>
      </c>
      <c r="U37" s="1">
        <v>7</v>
      </c>
      <c r="V37" s="46">
        <f t="shared" si="14"/>
        <v>18.91302220135325</v>
      </c>
      <c r="W37" s="46">
        <f t="shared" si="15"/>
        <v>22.191277163793437</v>
      </c>
      <c r="X37" s="46">
        <f t="shared" si="16"/>
        <v>24.410404880172781</v>
      </c>
      <c r="Y37" s="46">
        <f t="shared" si="17"/>
        <v>26.851445368190067</v>
      </c>
      <c r="Z37" s="46">
        <f t="shared" si="18"/>
        <v>29.536589905009073</v>
      </c>
      <c r="AA37" s="46">
        <f t="shared" si="19"/>
        <v>32.490248895509978</v>
      </c>
    </row>
    <row r="38" spans="1:27" ht="15" x14ac:dyDescent="0.25">
      <c r="A38" s="44"/>
      <c r="B38" s="36"/>
      <c r="C38" s="46"/>
      <c r="D38" s="36"/>
      <c r="E38" s="81"/>
      <c r="F38" s="81"/>
      <c r="G38" s="81"/>
      <c r="H38" s="81"/>
      <c r="I38" s="73"/>
      <c r="J38" s="73"/>
      <c r="M38" s="40"/>
      <c r="P38" s="1"/>
      <c r="U38" s="1">
        <v>8</v>
      </c>
      <c r="V38" s="46">
        <f t="shared" si="14"/>
        <v>19.385847756387079</v>
      </c>
      <c r="W38" s="46">
        <f t="shared" si="15"/>
        <v>22.74605909288827</v>
      </c>
      <c r="X38" s="46">
        <f t="shared" si="16"/>
        <v>25.020665002177097</v>
      </c>
      <c r="Y38" s="46">
        <f t="shared" si="17"/>
        <v>27.522731502394816</v>
      </c>
      <c r="Z38" s="46">
        <f t="shared" si="18"/>
        <v>30.275004652634298</v>
      </c>
      <c r="AA38" s="46">
        <f t="shared" si="19"/>
        <v>33.302505117897724</v>
      </c>
    </row>
    <row r="39" spans="1:27" x14ac:dyDescent="0.2">
      <c r="O39" s="40"/>
      <c r="P39" s="1"/>
      <c r="U39" s="1">
        <v>9</v>
      </c>
      <c r="V39" s="46">
        <f t="shared" si="14"/>
        <v>19.870493950296755</v>
      </c>
      <c r="W39" s="46">
        <f t="shared" si="15"/>
        <v>23.314710570210476</v>
      </c>
      <c r="X39" s="46">
        <f t="shared" si="16"/>
        <v>25.64618162723152</v>
      </c>
      <c r="Y39" s="46">
        <f t="shared" si="17"/>
        <v>28.210799789954685</v>
      </c>
      <c r="Z39" s="46">
        <f t="shared" si="18"/>
        <v>31.031879768950152</v>
      </c>
      <c r="AA39" s="46">
        <f t="shared" si="19"/>
        <v>34.135067745845163</v>
      </c>
    </row>
    <row r="40" spans="1:27" x14ac:dyDescent="0.2">
      <c r="U40" s="1">
        <v>10</v>
      </c>
      <c r="V40" s="46">
        <f t="shared" si="14"/>
        <v>20.367256299054173</v>
      </c>
      <c r="W40" s="46">
        <f t="shared" si="15"/>
        <v>23.897578334465734</v>
      </c>
      <c r="X40" s="46">
        <f t="shared" si="16"/>
        <v>26.287336167912308</v>
      </c>
      <c r="Y40" s="46">
        <f t="shared" si="17"/>
        <v>28.916069784703549</v>
      </c>
      <c r="Z40" s="46">
        <f t="shared" si="18"/>
        <v>31.807676763173902</v>
      </c>
      <c r="AA40" s="46">
        <f t="shared" si="19"/>
        <v>34.988444439491289</v>
      </c>
    </row>
    <row r="41" spans="1:27" x14ac:dyDescent="0.2">
      <c r="U41" s="1">
        <v>11</v>
      </c>
      <c r="V41" s="46">
        <f t="shared" si="14"/>
        <v>20.876437706530524</v>
      </c>
      <c r="W41" s="46">
        <f t="shared" si="15"/>
        <v>24.495017792827376</v>
      </c>
      <c r="X41" s="46">
        <f t="shared" si="16"/>
        <v>26.944519572110114</v>
      </c>
      <c r="Y41" s="46">
        <f t="shared" si="17"/>
        <v>29.638971529321136</v>
      </c>
      <c r="Z41" s="46">
        <f t="shared" si="18"/>
        <v>32.602868682253245</v>
      </c>
      <c r="AA41" s="46">
        <f t="shared" si="19"/>
        <v>35.863155550478567</v>
      </c>
    </row>
    <row r="42" spans="1:27" x14ac:dyDescent="0.2">
      <c r="D42" s="83"/>
      <c r="U42" s="1">
        <v>12</v>
      </c>
      <c r="V42" s="46">
        <f t="shared" si="14"/>
        <v>21.398348649193785</v>
      </c>
      <c r="W42" s="46">
        <f t="shared" si="15"/>
        <v>25.107393237648058</v>
      </c>
      <c r="X42" s="46">
        <f t="shared" si="16"/>
        <v>27.618132561412864</v>
      </c>
      <c r="Y42" s="46">
        <f t="shared" si="17"/>
        <v>30.379945817554162</v>
      </c>
      <c r="Z42" s="46">
        <f t="shared" si="18"/>
        <v>33.417940399309572</v>
      </c>
      <c r="AA42" s="46">
        <f t="shared" si="19"/>
        <v>36.759734439240525</v>
      </c>
    </row>
    <row r="43" spans="1:27" x14ac:dyDescent="0.2">
      <c r="D43" s="83"/>
      <c r="G43" s="35"/>
      <c r="U43" s="1">
        <v>13</v>
      </c>
      <c r="V43" s="46">
        <f t="shared" si="14"/>
        <v>21.933307365423627</v>
      </c>
      <c r="W43" s="46">
        <f t="shared" si="15"/>
        <v>25.735078068589257</v>
      </c>
      <c r="X43" s="46">
        <f t="shared" si="16"/>
        <v>28.308585875448184</v>
      </c>
      <c r="Y43" s="46">
        <f t="shared" si="17"/>
        <v>31.139444462993012</v>
      </c>
      <c r="Z43" s="46">
        <f t="shared" si="18"/>
        <v>34.253388909292305</v>
      </c>
      <c r="AA43" s="46">
        <f t="shared" si="19"/>
        <v>37.678727800221537</v>
      </c>
    </row>
    <row r="44" spans="1:27" x14ac:dyDescent="0.2">
      <c r="D44" s="83"/>
      <c r="U44" s="1">
        <v>14</v>
      </c>
      <c r="V44" s="46">
        <f t="shared" si="14"/>
        <v>22.481640049559214</v>
      </c>
      <c r="W44" s="46">
        <f t="shared" si="15"/>
        <v>26.378455020303985</v>
      </c>
      <c r="X44" s="46">
        <f t="shared" si="16"/>
        <v>29.016300522334387</v>
      </c>
      <c r="Y44" s="46">
        <f t="shared" si="17"/>
        <v>31.917930574567833</v>
      </c>
      <c r="Z44" s="46">
        <f t="shared" si="18"/>
        <v>35.109723632024611</v>
      </c>
      <c r="AA44" s="46">
        <f t="shared" si="19"/>
        <v>38.620695995227074</v>
      </c>
    </row>
    <row r="45" spans="1:27" x14ac:dyDescent="0.2">
      <c r="U45" s="1">
        <v>15</v>
      </c>
      <c r="V45" s="46">
        <f t="shared" si="14"/>
        <v>23.043681050798192</v>
      </c>
      <c r="W45" s="46">
        <f t="shared" si="15"/>
        <v>27.037916395811582</v>
      </c>
      <c r="X45" s="46">
        <f t="shared" si="16"/>
        <v>29.741708035392744</v>
      </c>
      <c r="Y45" s="46">
        <f t="shared" si="17"/>
        <v>32.715878838932028</v>
      </c>
      <c r="Z45" s="46">
        <f t="shared" si="18"/>
        <v>35.987466722825225</v>
      </c>
      <c r="AA45" s="46">
        <f t="shared" si="19"/>
        <v>39.586213395107748</v>
      </c>
    </row>
    <row r="46" spans="1:27" x14ac:dyDescent="0.2">
      <c r="U46" s="1">
        <v>16</v>
      </c>
      <c r="V46" s="46">
        <f t="shared" si="14"/>
        <v>23.619773077068146</v>
      </c>
      <c r="W46" s="46">
        <f t="shared" si="15"/>
        <v>27.713864305706871</v>
      </c>
      <c r="X46" s="46">
        <f t="shared" si="16"/>
        <v>30.48525073627756</v>
      </c>
      <c r="Y46" s="46">
        <f t="shared" si="17"/>
        <v>33.533775809905329</v>
      </c>
      <c r="Z46" s="46">
        <f t="shared" si="18"/>
        <v>36.887153390895854</v>
      </c>
      <c r="AA46" s="46">
        <f t="shared" si="19"/>
        <v>40.575868729985437</v>
      </c>
    </row>
    <row r="47" spans="1:27" x14ac:dyDescent="0.2">
      <c r="U47" s="1">
        <v>17</v>
      </c>
      <c r="V47" s="46">
        <f t="shared" si="14"/>
        <v>24.210267403994848</v>
      </c>
      <c r="W47" s="46">
        <f t="shared" si="15"/>
        <v>28.406710913349539</v>
      </c>
      <c r="X47" s="46">
        <f t="shared" si="16"/>
        <v>31.247382004684496</v>
      </c>
      <c r="Y47" s="46">
        <f t="shared" si="17"/>
        <v>34.37212020515296</v>
      </c>
      <c r="Z47" s="46">
        <f t="shared" si="18"/>
        <v>37.80933222566825</v>
      </c>
      <c r="AA47" s="46">
        <f t="shared" si="19"/>
        <v>41.590265448235073</v>
      </c>
    </row>
    <row r="48" spans="1:27" x14ac:dyDescent="0.2">
      <c r="U48" s="1">
        <v>18</v>
      </c>
      <c r="V48" s="46">
        <f t="shared" si="14"/>
        <v>24.815524089094716</v>
      </c>
      <c r="W48" s="46">
        <f t="shared" si="15"/>
        <v>29.116878686183274</v>
      </c>
      <c r="X48" s="46">
        <f t="shared" si="16"/>
        <v>32.028566554801607</v>
      </c>
      <c r="Y48" s="46">
        <f t="shared" si="17"/>
        <v>35.231423210281783</v>
      </c>
      <c r="Z48" s="46">
        <f t="shared" si="18"/>
        <v>38.75456553130995</v>
      </c>
      <c r="AA48" s="46">
        <f t="shared" si="19"/>
        <v>42.630022084440945</v>
      </c>
    </row>
    <row r="49" spans="21:27" x14ac:dyDescent="0.2">
      <c r="U49" s="1">
        <v>19</v>
      </c>
      <c r="V49" s="46">
        <f t="shared" si="14"/>
        <v>25.435912191322082</v>
      </c>
      <c r="W49" s="46">
        <f t="shared" si="15"/>
        <v>29.844800653337852</v>
      </c>
      <c r="X49" s="46">
        <f t="shared" si="16"/>
        <v>32.829280718671647</v>
      </c>
      <c r="Y49" s="46">
        <f t="shared" si="17"/>
        <v>36.112208790538823</v>
      </c>
      <c r="Z49" s="46">
        <f t="shared" si="18"/>
        <v>39.723429669592697</v>
      </c>
      <c r="AA49" s="46">
        <f t="shared" si="19"/>
        <v>43.695772636551965</v>
      </c>
    </row>
    <row r="50" spans="21:27" x14ac:dyDescent="0.2">
      <c r="U50" s="1">
        <v>20</v>
      </c>
      <c r="V50" s="46">
        <f t="shared" si="14"/>
        <v>26.071809996105131</v>
      </c>
      <c r="W50" s="46">
        <f t="shared" si="15"/>
        <v>30.590920669671295</v>
      </c>
      <c r="X50" s="46">
        <f t="shared" si="16"/>
        <v>33.650012736638438</v>
      </c>
      <c r="Y50" s="46">
        <f t="shared" si="17"/>
        <v>37.015014010302288</v>
      </c>
      <c r="Z50" s="46">
        <f t="shared" si="18"/>
        <v>40.716515411332509</v>
      </c>
      <c r="AA50" s="46">
        <f t="shared" si="19"/>
        <v>44.788166952465758</v>
      </c>
    </row>
  </sheetData>
  <mergeCells count="48">
    <mergeCell ref="V3:AA3"/>
    <mergeCell ref="B4:B5"/>
    <mergeCell ref="C4:C5"/>
    <mergeCell ref="D4:D5"/>
    <mergeCell ref="E4:E5"/>
    <mergeCell ref="F4:F5"/>
    <mergeCell ref="I3:J3"/>
    <mergeCell ref="O4:O5"/>
    <mergeCell ref="N4:N5"/>
    <mergeCell ref="G4:G5"/>
    <mergeCell ref="H4:H5"/>
    <mergeCell ref="I4:J4"/>
    <mergeCell ref="A1:R1"/>
    <mergeCell ref="A3:A5"/>
    <mergeCell ref="B3:C3"/>
    <mergeCell ref="D3:E3"/>
    <mergeCell ref="K3:L3"/>
    <mergeCell ref="K4:L4"/>
    <mergeCell ref="A29:A31"/>
    <mergeCell ref="B29:D29"/>
    <mergeCell ref="E29:G29"/>
    <mergeCell ref="H29:J29"/>
    <mergeCell ref="K29:M29"/>
    <mergeCell ref="V28:AA28"/>
    <mergeCell ref="Q29:S29"/>
    <mergeCell ref="B30:D30"/>
    <mergeCell ref="E30:G30"/>
    <mergeCell ref="H30:J30"/>
    <mergeCell ref="K30:M30"/>
    <mergeCell ref="N30:P30"/>
    <mergeCell ref="Q30:S30"/>
    <mergeCell ref="N29:P29"/>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2" t="s">
        <v>241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2" spans="1:26" ht="15.75" x14ac:dyDescent="0.25">
      <c r="A2" s="225" t="s">
        <v>373</v>
      </c>
    </row>
    <row r="3" spans="1:26" x14ac:dyDescent="0.25">
      <c r="A3" s="12">
        <v>538</v>
      </c>
    </row>
    <row r="4" spans="1:26" ht="20.25" x14ac:dyDescent="0.3">
      <c r="A4" s="171"/>
      <c r="B4" s="171"/>
      <c r="C4" s="171"/>
      <c r="D4" s="171"/>
      <c r="E4" s="171"/>
      <c r="F4" s="171"/>
      <c r="G4" s="171"/>
      <c r="H4" s="171"/>
      <c r="I4" s="171"/>
      <c r="J4" s="171"/>
      <c r="K4" s="171"/>
      <c r="L4" s="171"/>
      <c r="M4" s="171"/>
      <c r="N4" s="171"/>
      <c r="O4" s="171"/>
    </row>
    <row r="5" spans="1:26" ht="15.75" x14ac:dyDescent="0.25">
      <c r="A5" s="317" t="s">
        <v>152</v>
      </c>
      <c r="B5" s="317"/>
      <c r="C5" s="317"/>
      <c r="E5" s="317" t="s">
        <v>153</v>
      </c>
      <c r="F5" s="317"/>
      <c r="G5" s="317"/>
      <c r="I5" s="317" t="s">
        <v>154</v>
      </c>
      <c r="J5" s="317"/>
      <c r="K5" s="317"/>
      <c r="M5" s="34" t="s">
        <v>155</v>
      </c>
      <c r="N5" s="34"/>
      <c r="O5" s="34"/>
    </row>
    <row r="6" spans="1:26" x14ac:dyDescent="0.25">
      <c r="A6" s="16" t="s">
        <v>156</v>
      </c>
      <c r="B6" s="16" t="s">
        <v>157</v>
      </c>
      <c r="C6" s="16" t="s">
        <v>158</v>
      </c>
      <c r="E6" s="16" t="s">
        <v>156</v>
      </c>
      <c r="F6" s="16" t="s">
        <v>157</v>
      </c>
      <c r="G6" s="16" t="s">
        <v>158</v>
      </c>
      <c r="I6" s="25" t="s">
        <v>159</v>
      </c>
      <c r="J6" s="16" t="s">
        <v>157</v>
      </c>
      <c r="K6" s="16" t="s">
        <v>158</v>
      </c>
      <c r="M6" s="25" t="s">
        <v>160</v>
      </c>
      <c r="N6" s="16" t="s">
        <v>157</v>
      </c>
      <c r="O6" s="16" t="s">
        <v>158</v>
      </c>
    </row>
    <row r="7" spans="1:26" x14ac:dyDescent="0.25">
      <c r="A7" s="17" t="s">
        <v>161</v>
      </c>
      <c r="B7" s="18">
        <v>1</v>
      </c>
      <c r="C7" s="19">
        <f>B7/A3</f>
        <v>1.8587360594795538E-3</v>
      </c>
      <c r="E7" s="23" t="s">
        <v>162</v>
      </c>
      <c r="F7" s="18"/>
      <c r="G7" s="19">
        <v>4.2000000000000003E-2</v>
      </c>
      <c r="I7" s="23" t="s">
        <v>163</v>
      </c>
      <c r="J7" s="18">
        <v>429</v>
      </c>
      <c r="K7" s="19">
        <f>J7/A3</f>
        <v>0.79739776951672858</v>
      </c>
      <c r="M7" s="23" t="s">
        <v>164</v>
      </c>
      <c r="N7" s="18">
        <v>42</v>
      </c>
      <c r="O7" s="19">
        <f>N7/A3</f>
        <v>7.8066914498141265E-2</v>
      </c>
    </row>
    <row r="8" spans="1:26" x14ac:dyDescent="0.25">
      <c r="A8" s="20" t="s">
        <v>165</v>
      </c>
      <c r="B8" s="21">
        <v>28</v>
      </c>
      <c r="C8" s="22">
        <f>B8/A3</f>
        <v>5.204460966542751E-2</v>
      </c>
      <c r="E8" s="24" t="s">
        <v>166</v>
      </c>
      <c r="F8" s="21"/>
      <c r="G8" s="19">
        <v>0.25700000000000001</v>
      </c>
      <c r="I8" s="24" t="s">
        <v>167</v>
      </c>
      <c r="J8" s="21">
        <v>51</v>
      </c>
      <c r="K8" s="19">
        <f>J8/A3</f>
        <v>9.4795539033457249E-2</v>
      </c>
      <c r="M8" s="24" t="s">
        <v>168</v>
      </c>
      <c r="N8" s="21">
        <v>496</v>
      </c>
      <c r="O8" s="22">
        <f>N8/A3</f>
        <v>0.92193308550185871</v>
      </c>
    </row>
    <row r="9" spans="1:26" x14ac:dyDescent="0.25">
      <c r="A9" s="20" t="s">
        <v>169</v>
      </c>
      <c r="B9" s="21">
        <v>89</v>
      </c>
      <c r="C9" s="22">
        <f>B9/A3</f>
        <v>0.1654275092936803</v>
      </c>
      <c r="E9" s="24" t="s">
        <v>170</v>
      </c>
      <c r="F9" s="21"/>
      <c r="G9" s="19">
        <v>0.24399999999999999</v>
      </c>
      <c r="I9" s="24" t="s">
        <v>171</v>
      </c>
      <c r="J9" s="21">
        <v>26</v>
      </c>
      <c r="K9" s="19">
        <f>J9/A3</f>
        <v>4.8327137546468404E-2</v>
      </c>
    </row>
    <row r="10" spans="1:26" x14ac:dyDescent="0.25">
      <c r="A10" s="20" t="s">
        <v>172</v>
      </c>
      <c r="B10" s="21">
        <v>141</v>
      </c>
      <c r="C10" s="22">
        <f>B10/A3</f>
        <v>0.26208178438661711</v>
      </c>
      <c r="E10" s="24" t="s">
        <v>173</v>
      </c>
      <c r="F10" s="21"/>
      <c r="G10" s="19">
        <v>0.14399999999999999</v>
      </c>
      <c r="I10" s="24" t="s">
        <v>174</v>
      </c>
      <c r="J10" s="21">
        <v>12</v>
      </c>
      <c r="K10" s="19">
        <f>J10/A3</f>
        <v>2.2304832713754646E-2</v>
      </c>
    </row>
    <row r="11" spans="1:26" x14ac:dyDescent="0.25">
      <c r="A11" s="20" t="s">
        <v>175</v>
      </c>
      <c r="B11" s="21">
        <v>159</v>
      </c>
      <c r="C11" s="22">
        <f>B11/A3</f>
        <v>0.29553903345724908</v>
      </c>
      <c r="E11" s="24" t="s">
        <v>176</v>
      </c>
      <c r="F11" s="21"/>
      <c r="G11" s="19">
        <v>0.22800000000000001</v>
      </c>
      <c r="I11" s="24" t="s">
        <v>177</v>
      </c>
      <c r="J11" s="21">
        <v>6</v>
      </c>
      <c r="K11" s="19">
        <f>J11/A3</f>
        <v>1.1152416356877323E-2</v>
      </c>
    </row>
    <row r="12" spans="1:26" x14ac:dyDescent="0.25">
      <c r="A12" s="20" t="s">
        <v>178</v>
      </c>
      <c r="B12" s="21">
        <v>97</v>
      </c>
      <c r="C12" s="22">
        <f>B12/A3</f>
        <v>0.18029739776951673</v>
      </c>
      <c r="E12" s="24" t="s">
        <v>179</v>
      </c>
      <c r="F12" s="21"/>
      <c r="G12" s="19">
        <v>7.0999999999999994E-2</v>
      </c>
      <c r="I12" s="24" t="s">
        <v>180</v>
      </c>
      <c r="J12" s="21">
        <v>1</v>
      </c>
      <c r="K12" s="19">
        <f>J12/A3</f>
        <v>1.8587360594795538E-3</v>
      </c>
    </row>
    <row r="13" spans="1:26" x14ac:dyDescent="0.25">
      <c r="A13" s="20" t="s">
        <v>181</v>
      </c>
      <c r="B13" s="21">
        <v>23</v>
      </c>
      <c r="C13" s="22">
        <f>B13/A3</f>
        <v>4.2750929368029739E-2</v>
      </c>
      <c r="E13" s="24" t="s">
        <v>182</v>
      </c>
      <c r="F13" s="21"/>
      <c r="G13" s="19">
        <v>1.4E-2</v>
      </c>
      <c r="I13" s="24" t="s">
        <v>183</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23" zoomScaleNormal="100" workbookViewId="0">
      <selection activeCell="D16" sqref="D16"/>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710937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2" t="s">
        <v>242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4" spans="1:26" ht="18.75" x14ac:dyDescent="0.3">
      <c r="A4" s="321" t="s">
        <v>243</v>
      </c>
      <c r="B4" s="321"/>
      <c r="C4" s="321"/>
      <c r="D4" s="321"/>
      <c r="E4" s="321"/>
      <c r="F4" s="321"/>
      <c r="G4" s="321"/>
      <c r="H4" s="321"/>
    </row>
    <row r="5" spans="1:26" ht="36" customHeight="1" x14ac:dyDescent="0.25">
      <c r="A5" s="319" t="s">
        <v>186</v>
      </c>
      <c r="B5" s="320" t="s">
        <v>187</v>
      </c>
      <c r="C5" s="320" t="s">
        <v>188</v>
      </c>
      <c r="D5" s="320" t="s">
        <v>244</v>
      </c>
      <c r="E5" s="320" t="s">
        <v>190</v>
      </c>
      <c r="F5" s="320"/>
      <c r="G5" s="320" t="s">
        <v>191</v>
      </c>
      <c r="H5" s="320"/>
      <c r="P5"/>
      <c r="R5" s="10"/>
    </row>
    <row r="6" spans="1:26" ht="15.75" thickBot="1" x14ac:dyDescent="0.3">
      <c r="A6" s="319"/>
      <c r="B6" s="320"/>
      <c r="C6" s="320"/>
      <c r="D6" s="322"/>
      <c r="E6" s="163" t="s">
        <v>192</v>
      </c>
      <c r="F6" s="163" t="s">
        <v>193</v>
      </c>
      <c r="G6" s="163" t="s">
        <v>192</v>
      </c>
      <c r="H6" s="163" t="s">
        <v>193</v>
      </c>
      <c r="P6"/>
      <c r="R6" s="10"/>
    </row>
    <row r="7" spans="1:26" ht="15.75" thickBot="1" x14ac:dyDescent="0.3">
      <c r="A7" s="195" t="s">
        <v>245</v>
      </c>
      <c r="B7" s="196">
        <v>1</v>
      </c>
      <c r="C7" s="197">
        <f>'1A'!B12</f>
        <v>13.49</v>
      </c>
      <c r="D7" s="198" t="s">
        <v>57</v>
      </c>
      <c r="E7" s="199">
        <f t="shared" ref="E7:E12" si="0">W19-B19</f>
        <v>-227</v>
      </c>
      <c r="F7" s="200">
        <f t="shared" ref="F7:F12" si="1">W29</f>
        <v>-0.29673202614379085</v>
      </c>
      <c r="G7" s="201">
        <f t="shared" ref="G7:G12" si="2">S38-B38</f>
        <v>5.78</v>
      </c>
      <c r="H7" s="202">
        <f t="shared" ref="H7:H12" si="3">S48</f>
        <v>0.7496757457846952</v>
      </c>
      <c r="P7"/>
      <c r="R7" s="10"/>
    </row>
    <row r="8" spans="1:26" ht="15.75" thickTop="1" x14ac:dyDescent="0.25">
      <c r="A8" s="178" t="s">
        <v>196</v>
      </c>
      <c r="B8" s="164">
        <v>0.95</v>
      </c>
      <c r="C8" s="185">
        <f>S39</f>
        <v>23.18</v>
      </c>
      <c r="D8" s="187">
        <f>C8-C7</f>
        <v>9.69</v>
      </c>
      <c r="E8" s="174">
        <f t="shared" si="0"/>
        <v>-21</v>
      </c>
      <c r="F8" s="173">
        <f t="shared" si="1"/>
        <v>-0.40384615384615385</v>
      </c>
      <c r="G8" s="175">
        <f t="shared" si="2"/>
        <v>7.1400000000000006</v>
      </c>
      <c r="H8" s="177">
        <f t="shared" si="3"/>
        <v>0.44513715710723201</v>
      </c>
      <c r="P8"/>
      <c r="R8" s="10"/>
    </row>
    <row r="9" spans="1:26" x14ac:dyDescent="0.25">
      <c r="A9" s="178" t="s">
        <v>246</v>
      </c>
      <c r="B9" s="164">
        <v>0.95</v>
      </c>
      <c r="C9" s="185">
        <f t="shared" ref="C9:C12" si="4">S40</f>
        <v>14.41</v>
      </c>
      <c r="D9" s="217">
        <f>C9-C7</f>
        <v>0.91999999999999993</v>
      </c>
      <c r="E9" s="174">
        <f t="shared" si="0"/>
        <v>4</v>
      </c>
      <c r="F9" s="173">
        <f t="shared" si="1"/>
        <v>6.7796610169491525E-2</v>
      </c>
      <c r="G9" s="175">
        <f t="shared" si="2"/>
        <v>-0.16000000000000014</v>
      </c>
      <c r="H9" s="177">
        <f t="shared" si="3"/>
        <v>-1.0981468771448191E-2</v>
      </c>
      <c r="P9"/>
      <c r="R9" s="10"/>
    </row>
    <row r="10" spans="1:26" x14ac:dyDescent="0.25">
      <c r="A10" s="178" t="s">
        <v>195</v>
      </c>
      <c r="B10" s="164">
        <v>0.94</v>
      </c>
      <c r="C10" s="185">
        <f t="shared" si="4"/>
        <v>27.92</v>
      </c>
      <c r="D10" s="187">
        <f>C10-C7</f>
        <v>14.430000000000001</v>
      </c>
      <c r="E10" s="174">
        <f t="shared" si="0"/>
        <v>-35</v>
      </c>
      <c r="F10" s="173">
        <f t="shared" si="1"/>
        <v>-0.660377358490566</v>
      </c>
      <c r="G10" s="175">
        <f t="shared" si="2"/>
        <v>4.6300000000000026</v>
      </c>
      <c r="H10" s="177">
        <f t="shared" si="3"/>
        <v>0.19879776728209544</v>
      </c>
      <c r="P10"/>
      <c r="R10" s="10"/>
    </row>
    <row r="11" spans="1:26" x14ac:dyDescent="0.25">
      <c r="A11" s="178" t="s">
        <v>247</v>
      </c>
      <c r="B11" s="164">
        <v>0.92</v>
      </c>
      <c r="C11" s="185">
        <f t="shared" si="4"/>
        <v>18.09</v>
      </c>
      <c r="D11" s="187">
        <f>C11-C7</f>
        <v>4.5999999999999996</v>
      </c>
      <c r="E11" s="174">
        <f t="shared" si="0"/>
        <v>-394</v>
      </c>
      <c r="F11" s="173">
        <f t="shared" si="1"/>
        <v>-0.38932806324110669</v>
      </c>
      <c r="G11" s="175">
        <f t="shared" si="2"/>
        <v>4.9499999999999993</v>
      </c>
      <c r="H11" s="177">
        <f t="shared" si="3"/>
        <v>0.37671232876712324</v>
      </c>
      <c r="P11"/>
      <c r="R11" s="10"/>
    </row>
    <row r="12" spans="1:26" ht="15.75" thickBot="1" x14ac:dyDescent="0.3">
      <c r="A12" s="179" t="s">
        <v>248</v>
      </c>
      <c r="B12" s="180">
        <v>0.92</v>
      </c>
      <c r="C12" s="186">
        <f t="shared" si="4"/>
        <v>15.76</v>
      </c>
      <c r="D12" s="188">
        <f>C12-C7</f>
        <v>2.2699999999999996</v>
      </c>
      <c r="E12" s="181">
        <f t="shared" si="0"/>
        <v>27</v>
      </c>
      <c r="F12" s="182">
        <f t="shared" si="1"/>
        <v>3.5433070866141732E-2</v>
      </c>
      <c r="G12" s="183">
        <f t="shared" si="2"/>
        <v>2.66</v>
      </c>
      <c r="H12" s="184">
        <f t="shared" si="3"/>
        <v>0.20305343511450383</v>
      </c>
      <c r="P12"/>
      <c r="R12" s="10"/>
    </row>
    <row r="13" spans="1:26" x14ac:dyDescent="0.25">
      <c r="A13" s="1"/>
      <c r="B13" s="35"/>
      <c r="C13" s="36"/>
      <c r="D13" s="36"/>
    </row>
    <row r="14" spans="1:26" x14ac:dyDescent="0.25">
      <c r="D14" s="224"/>
      <c r="G14" s="215"/>
    </row>
    <row r="17" spans="1:26" ht="15.75" x14ac:dyDescent="0.25">
      <c r="A17" s="318" t="s">
        <v>331</v>
      </c>
      <c r="B17" s="318"/>
      <c r="C17" s="318"/>
      <c r="D17" s="318"/>
      <c r="E17" s="318"/>
      <c r="F17" s="318"/>
      <c r="G17" s="318"/>
      <c r="H17" s="318"/>
      <c r="I17" s="318"/>
      <c r="J17" s="318"/>
      <c r="K17" s="318"/>
      <c r="L17" s="318"/>
      <c r="M17" s="318"/>
      <c r="N17" s="318"/>
      <c r="O17" s="318"/>
      <c r="P17" s="318"/>
      <c r="Q17" s="318"/>
      <c r="R17" s="318"/>
      <c r="S17" s="318"/>
      <c r="T17" s="318"/>
      <c r="U17" s="318"/>
      <c r="V17" s="318"/>
      <c r="W17" s="318"/>
    </row>
    <row r="18" spans="1:26" x14ac:dyDescent="0.25">
      <c r="A18" s="189" t="s">
        <v>186</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245</v>
      </c>
      <c r="B19" s="166">
        <v>765</v>
      </c>
      <c r="C19" s="166">
        <v>767</v>
      </c>
      <c r="D19" s="166">
        <v>753</v>
      </c>
      <c r="E19" s="166">
        <v>739</v>
      </c>
      <c r="F19" s="166">
        <v>744</v>
      </c>
      <c r="G19" s="166">
        <v>761</v>
      </c>
      <c r="H19" s="166">
        <v>755</v>
      </c>
      <c r="I19" s="166">
        <v>744</v>
      </c>
      <c r="J19" s="166">
        <v>718</v>
      </c>
      <c r="K19" s="166">
        <v>705</v>
      </c>
      <c r="L19" s="166">
        <v>649</v>
      </c>
      <c r="M19" s="166">
        <v>618</v>
      </c>
      <c r="N19" s="166">
        <v>581</v>
      </c>
      <c r="O19" s="166">
        <v>546</v>
      </c>
      <c r="P19" s="166">
        <v>558</v>
      </c>
      <c r="Q19" s="166">
        <v>556</v>
      </c>
      <c r="R19" s="166">
        <v>569</v>
      </c>
      <c r="S19" s="166">
        <v>597</v>
      </c>
      <c r="T19" s="166">
        <v>600</v>
      </c>
      <c r="U19" s="166">
        <v>531</v>
      </c>
      <c r="V19" s="166">
        <v>529</v>
      </c>
      <c r="W19" s="166">
        <v>538</v>
      </c>
    </row>
    <row r="20" spans="1:26" ht="15.75" thickTop="1" x14ac:dyDescent="0.25">
      <c r="A20" s="143" t="s">
        <v>196</v>
      </c>
      <c r="B20" s="144">
        <v>52</v>
      </c>
      <c r="C20" s="144">
        <v>52</v>
      </c>
      <c r="D20" s="144">
        <v>52</v>
      </c>
      <c r="E20" s="144">
        <v>53</v>
      </c>
      <c r="F20" s="144">
        <v>60</v>
      </c>
      <c r="G20" s="144">
        <v>59</v>
      </c>
      <c r="H20" s="144">
        <v>54</v>
      </c>
      <c r="I20" s="144">
        <v>28</v>
      </c>
      <c r="J20" s="144">
        <v>22</v>
      </c>
      <c r="K20" s="144">
        <v>23</v>
      </c>
      <c r="L20" s="144">
        <v>24</v>
      </c>
      <c r="M20" s="144">
        <v>21</v>
      </c>
      <c r="N20" s="144">
        <v>20</v>
      </c>
      <c r="O20" s="144">
        <v>21</v>
      </c>
      <c r="P20" s="144">
        <v>20</v>
      </c>
      <c r="Q20" s="144">
        <v>29</v>
      </c>
      <c r="R20" s="144">
        <v>20</v>
      </c>
      <c r="S20" s="144">
        <v>19</v>
      </c>
      <c r="T20" s="144">
        <v>30</v>
      </c>
      <c r="U20" s="144">
        <v>30</v>
      </c>
      <c r="V20" s="144">
        <v>31</v>
      </c>
      <c r="W20" s="144">
        <v>31</v>
      </c>
    </row>
    <row r="21" spans="1:26" x14ac:dyDescent="0.25">
      <c r="A21" s="143" t="s">
        <v>246</v>
      </c>
      <c r="B21" s="144">
        <v>59</v>
      </c>
      <c r="C21" s="144">
        <v>67</v>
      </c>
      <c r="D21" s="144">
        <v>81</v>
      </c>
      <c r="E21" s="144">
        <v>82</v>
      </c>
      <c r="F21" s="144">
        <v>95</v>
      </c>
      <c r="G21" s="144">
        <v>98</v>
      </c>
      <c r="H21" s="144">
        <v>87</v>
      </c>
      <c r="I21" s="144">
        <v>83</v>
      </c>
      <c r="J21" s="144">
        <v>77</v>
      </c>
      <c r="K21" s="144">
        <v>76</v>
      </c>
      <c r="L21" s="144">
        <v>74</v>
      </c>
      <c r="M21" s="144">
        <v>73</v>
      </c>
      <c r="N21" s="144">
        <v>76</v>
      </c>
      <c r="O21" s="144">
        <v>80</v>
      </c>
      <c r="P21" s="144">
        <v>92</v>
      </c>
      <c r="Q21" s="144">
        <v>99</v>
      </c>
      <c r="R21" s="144">
        <v>110</v>
      </c>
      <c r="S21" s="144">
        <v>112</v>
      </c>
      <c r="T21" s="144">
        <v>96</v>
      </c>
      <c r="U21" s="144">
        <v>80</v>
      </c>
      <c r="V21" s="144">
        <v>83</v>
      </c>
      <c r="W21" s="144">
        <v>63</v>
      </c>
    </row>
    <row r="22" spans="1:26" x14ac:dyDescent="0.25">
      <c r="A22" s="143" t="s">
        <v>195</v>
      </c>
      <c r="B22" s="146">
        <v>53</v>
      </c>
      <c r="C22" s="146">
        <v>50</v>
      </c>
      <c r="D22" s="146">
        <v>50</v>
      </c>
      <c r="E22" s="146">
        <v>46</v>
      </c>
      <c r="F22" s="146">
        <v>47</v>
      </c>
      <c r="G22" s="146">
        <v>41</v>
      </c>
      <c r="H22" s="146">
        <v>40</v>
      </c>
      <c r="I22" s="146">
        <v>46</v>
      </c>
      <c r="J22" s="146">
        <v>50</v>
      </c>
      <c r="K22" s="146">
        <v>51</v>
      </c>
      <c r="L22" s="146">
        <v>45</v>
      </c>
      <c r="M22" s="146">
        <v>45</v>
      </c>
      <c r="N22" s="146">
        <v>41</v>
      </c>
      <c r="O22" s="146">
        <v>37</v>
      </c>
      <c r="P22" s="146">
        <v>29</v>
      </c>
      <c r="Q22" s="146">
        <v>23</v>
      </c>
      <c r="R22" s="146">
        <v>19</v>
      </c>
      <c r="S22" s="146">
        <v>18</v>
      </c>
      <c r="T22" s="146">
        <v>18</v>
      </c>
      <c r="U22" s="146">
        <v>18</v>
      </c>
      <c r="V22" s="146">
        <v>18</v>
      </c>
      <c r="W22" s="146">
        <v>18</v>
      </c>
    </row>
    <row r="23" spans="1:26" x14ac:dyDescent="0.25">
      <c r="A23" s="178" t="s">
        <v>247</v>
      </c>
      <c r="B23" s="146">
        <v>1012</v>
      </c>
      <c r="C23" s="146">
        <v>1025</v>
      </c>
      <c r="D23" s="146">
        <v>1032</v>
      </c>
      <c r="E23" s="146">
        <v>1047</v>
      </c>
      <c r="F23" s="146">
        <v>1088</v>
      </c>
      <c r="G23" s="146">
        <v>1017</v>
      </c>
      <c r="H23" s="146">
        <v>949</v>
      </c>
      <c r="I23" s="146">
        <v>914</v>
      </c>
      <c r="J23" s="146">
        <v>824</v>
      </c>
      <c r="K23" s="146">
        <v>843</v>
      </c>
      <c r="L23" s="146">
        <v>856</v>
      </c>
      <c r="M23" s="146">
        <v>915</v>
      </c>
      <c r="N23" s="146">
        <v>940</v>
      </c>
      <c r="O23" s="146">
        <v>957</v>
      </c>
      <c r="P23" s="146">
        <v>972</v>
      </c>
      <c r="Q23" s="146">
        <v>1002</v>
      </c>
      <c r="R23" s="146">
        <v>984</v>
      </c>
      <c r="S23" s="146">
        <v>876</v>
      </c>
      <c r="T23" s="146">
        <v>726</v>
      </c>
      <c r="U23" s="146">
        <v>622</v>
      </c>
      <c r="V23" s="146">
        <v>619</v>
      </c>
      <c r="W23" s="146">
        <v>618</v>
      </c>
    </row>
    <row r="24" spans="1:26" x14ac:dyDescent="0.25">
      <c r="A24" s="143" t="s">
        <v>248</v>
      </c>
      <c r="B24" s="146">
        <v>762</v>
      </c>
      <c r="C24" s="146">
        <v>759</v>
      </c>
      <c r="D24" s="146">
        <v>763</v>
      </c>
      <c r="E24" s="146">
        <v>778</v>
      </c>
      <c r="F24" s="146">
        <v>800</v>
      </c>
      <c r="G24" s="146">
        <v>823</v>
      </c>
      <c r="H24" s="146">
        <v>788</v>
      </c>
      <c r="I24" s="146">
        <v>778</v>
      </c>
      <c r="J24" s="146">
        <v>744</v>
      </c>
      <c r="K24" s="146">
        <v>774</v>
      </c>
      <c r="L24" s="146">
        <v>771</v>
      </c>
      <c r="M24" s="146">
        <v>811</v>
      </c>
      <c r="N24" s="146">
        <v>830</v>
      </c>
      <c r="O24" s="146">
        <v>880</v>
      </c>
      <c r="P24" s="146">
        <v>887</v>
      </c>
      <c r="Q24" s="146">
        <v>952</v>
      </c>
      <c r="R24" s="146">
        <v>980</v>
      </c>
      <c r="S24" s="146">
        <v>1004</v>
      </c>
      <c r="T24" s="146">
        <v>944</v>
      </c>
      <c r="U24" s="146">
        <v>822</v>
      </c>
      <c r="V24" s="146">
        <v>813</v>
      </c>
      <c r="W24" s="146">
        <v>789</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8" t="s">
        <v>332</v>
      </c>
      <c r="B27" s="318"/>
      <c r="C27" s="318"/>
      <c r="D27" s="318"/>
      <c r="E27" s="318"/>
      <c r="F27" s="318"/>
      <c r="G27" s="318"/>
      <c r="H27" s="318"/>
      <c r="I27" s="318"/>
      <c r="J27" s="318"/>
      <c r="K27" s="318"/>
      <c r="L27" s="318"/>
      <c r="M27" s="318"/>
      <c r="N27" s="318"/>
      <c r="O27" s="318"/>
      <c r="P27" s="318"/>
      <c r="Q27" s="318"/>
      <c r="R27" s="318"/>
      <c r="S27" s="318"/>
      <c r="T27" s="318"/>
      <c r="U27" s="318"/>
      <c r="V27" s="318"/>
      <c r="W27" s="318"/>
    </row>
    <row r="28" spans="1:26" x14ac:dyDescent="0.25">
      <c r="A28" s="189" t="s">
        <v>186</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245</v>
      </c>
      <c r="B29" s="167">
        <f t="shared" ref="B29:B34" si="5">(B19-B19)/B19</f>
        <v>0</v>
      </c>
      <c r="C29" s="167">
        <f t="shared" ref="C29:C34" si="6">(C19-B19)/B19</f>
        <v>2.6143790849673201E-3</v>
      </c>
      <c r="D29" s="167">
        <f t="shared" ref="D29:D34" si="7">(D19-B19)/B19</f>
        <v>-1.5686274509803921E-2</v>
      </c>
      <c r="E29" s="167">
        <f t="shared" ref="E29:E34" si="8">(E19-B19)/B19</f>
        <v>-3.3986928104575161E-2</v>
      </c>
      <c r="F29" s="167">
        <f t="shared" ref="F29:F34" si="9">(F19-B19)/B19</f>
        <v>-2.7450980392156862E-2</v>
      </c>
      <c r="G29" s="167">
        <f t="shared" ref="G29:G34" si="10">(G19-B19)/B19</f>
        <v>-5.2287581699346402E-3</v>
      </c>
      <c r="H29" s="167">
        <f t="shared" ref="H29:H34" si="11">(H19-B19)/B19</f>
        <v>-1.3071895424836602E-2</v>
      </c>
      <c r="I29" s="167">
        <f t="shared" ref="I29:I34" si="12">(I19-B19)/B19</f>
        <v>-2.7450980392156862E-2</v>
      </c>
      <c r="J29" s="167">
        <f t="shared" ref="J29:J34" si="13">(J19-B19)/B19</f>
        <v>-6.1437908496732023E-2</v>
      </c>
      <c r="K29" s="167">
        <f t="shared" ref="K29:K34" si="14">(K19-B19)/B19</f>
        <v>-7.8431372549019607E-2</v>
      </c>
      <c r="L29" s="167">
        <f t="shared" ref="L29:L34" si="15">(L19-B19)/B19</f>
        <v>-0.15163398692810456</v>
      </c>
      <c r="M29" s="167">
        <f t="shared" ref="M29:M34" si="16">(M19-B19)/B19</f>
        <v>-0.19215686274509805</v>
      </c>
      <c r="N29" s="167">
        <f t="shared" ref="N29:N34" si="17">(N19-B19)/B19</f>
        <v>-0.24052287581699347</v>
      </c>
      <c r="O29" s="167">
        <f t="shared" ref="O29:O34" si="18">(O19-B19)/B19</f>
        <v>-0.28627450980392155</v>
      </c>
      <c r="P29" s="167">
        <f t="shared" ref="P29:P34" si="19">(P19-B19)/B19</f>
        <v>-0.27058823529411763</v>
      </c>
      <c r="Q29" s="167">
        <f t="shared" ref="Q29:Q34" si="20">(Q19-B19)/B19</f>
        <v>-0.27320261437908494</v>
      </c>
      <c r="R29" s="167">
        <f t="shared" ref="R29:R34" si="21">(R19-B19)/B19</f>
        <v>-0.25620915032679736</v>
      </c>
      <c r="S29" s="167">
        <f t="shared" ref="S29:S34" si="22">(S19-B19)/B19</f>
        <v>-0.2196078431372549</v>
      </c>
      <c r="T29" s="167">
        <f t="shared" ref="T29:T34" si="23">(T19-B19)/B19</f>
        <v>-0.21568627450980393</v>
      </c>
      <c r="U29" s="167">
        <f t="shared" ref="U29:U34" si="24">(U19-B19)/B19</f>
        <v>-0.30588235294117649</v>
      </c>
      <c r="V29" s="167">
        <f t="shared" ref="V29:V34" si="25">(V19-B19)/B19</f>
        <v>-0.30849673202614381</v>
      </c>
      <c r="W29" s="167">
        <f t="shared" ref="W29:W34" si="26">(W19-B19)/B19</f>
        <v>-0.29673202614379085</v>
      </c>
      <c r="Y29" t="s">
        <v>246</v>
      </c>
      <c r="Z29" s="216">
        <v>-0.16</v>
      </c>
    </row>
    <row r="30" spans="1:26" ht="15.75" thickTop="1" x14ac:dyDescent="0.25">
      <c r="A30" s="143" t="s">
        <v>196</v>
      </c>
      <c r="B30" s="147">
        <f t="shared" si="5"/>
        <v>0</v>
      </c>
      <c r="C30" s="147">
        <f t="shared" si="6"/>
        <v>0</v>
      </c>
      <c r="D30" s="147">
        <f t="shared" si="7"/>
        <v>0</v>
      </c>
      <c r="E30" s="147">
        <f t="shared" si="8"/>
        <v>1.9230769230769232E-2</v>
      </c>
      <c r="F30" s="147">
        <f t="shared" si="9"/>
        <v>0.15384615384615385</v>
      </c>
      <c r="G30" s="147">
        <f t="shared" si="10"/>
        <v>0.13461538461538461</v>
      </c>
      <c r="H30" s="147">
        <f t="shared" si="11"/>
        <v>3.8461538461538464E-2</v>
      </c>
      <c r="I30" s="147">
        <f t="shared" si="12"/>
        <v>-0.46153846153846156</v>
      </c>
      <c r="J30" s="147">
        <f t="shared" si="13"/>
        <v>-0.57692307692307687</v>
      </c>
      <c r="K30" s="147">
        <f t="shared" si="14"/>
        <v>-0.55769230769230771</v>
      </c>
      <c r="L30" s="147">
        <f t="shared" si="15"/>
        <v>-0.53846153846153844</v>
      </c>
      <c r="M30" s="147">
        <f t="shared" si="16"/>
        <v>-0.59615384615384615</v>
      </c>
      <c r="N30" s="147">
        <f t="shared" si="17"/>
        <v>-0.61538461538461542</v>
      </c>
      <c r="O30" s="147">
        <f t="shared" si="18"/>
        <v>-0.59615384615384615</v>
      </c>
      <c r="P30" s="147">
        <f t="shared" si="19"/>
        <v>-0.61538461538461542</v>
      </c>
      <c r="Q30" s="147">
        <f t="shared" si="20"/>
        <v>-0.44230769230769229</v>
      </c>
      <c r="R30" s="147">
        <f t="shared" si="21"/>
        <v>-0.61538461538461542</v>
      </c>
      <c r="S30" s="147">
        <f t="shared" si="22"/>
        <v>-0.63461538461538458</v>
      </c>
      <c r="T30" s="147">
        <f t="shared" si="23"/>
        <v>-0.42307692307692307</v>
      </c>
      <c r="U30" s="147">
        <f t="shared" si="24"/>
        <v>-0.42307692307692307</v>
      </c>
      <c r="V30" s="147">
        <f t="shared" si="25"/>
        <v>-0.40384615384615385</v>
      </c>
      <c r="W30" s="147">
        <f t="shared" si="26"/>
        <v>-0.40384615384615385</v>
      </c>
      <c r="Y30" t="s">
        <v>248</v>
      </c>
      <c r="Z30" s="214">
        <v>2.66</v>
      </c>
    </row>
    <row r="31" spans="1:26" x14ac:dyDescent="0.25">
      <c r="A31" s="143" t="s">
        <v>246</v>
      </c>
      <c r="B31" s="147">
        <f t="shared" si="5"/>
        <v>0</v>
      </c>
      <c r="C31" s="147">
        <f t="shared" si="6"/>
        <v>0.13559322033898305</v>
      </c>
      <c r="D31" s="147">
        <f t="shared" si="7"/>
        <v>0.3728813559322034</v>
      </c>
      <c r="E31" s="147">
        <f t="shared" si="8"/>
        <v>0.38983050847457629</v>
      </c>
      <c r="F31" s="147">
        <f t="shared" si="9"/>
        <v>0.61016949152542377</v>
      </c>
      <c r="G31" s="147">
        <f t="shared" si="10"/>
        <v>0.66101694915254239</v>
      </c>
      <c r="H31" s="147">
        <f t="shared" si="11"/>
        <v>0.47457627118644069</v>
      </c>
      <c r="I31" s="147">
        <f t="shared" si="12"/>
        <v>0.40677966101694918</v>
      </c>
      <c r="J31" s="147">
        <f t="shared" si="13"/>
        <v>0.30508474576271188</v>
      </c>
      <c r="K31" s="147">
        <f t="shared" si="14"/>
        <v>0.28813559322033899</v>
      </c>
      <c r="L31" s="147">
        <f t="shared" si="15"/>
        <v>0.25423728813559321</v>
      </c>
      <c r="M31" s="147">
        <f t="shared" si="16"/>
        <v>0.23728813559322035</v>
      </c>
      <c r="N31" s="147">
        <f t="shared" si="17"/>
        <v>0.28813559322033899</v>
      </c>
      <c r="O31" s="147">
        <f t="shared" si="18"/>
        <v>0.3559322033898305</v>
      </c>
      <c r="P31" s="147">
        <f t="shared" si="19"/>
        <v>0.55932203389830504</v>
      </c>
      <c r="Q31" s="147">
        <f t="shared" si="20"/>
        <v>0.67796610169491522</v>
      </c>
      <c r="R31" s="147">
        <f t="shared" si="21"/>
        <v>0.86440677966101698</v>
      </c>
      <c r="S31" s="147">
        <f t="shared" si="22"/>
        <v>0.89830508474576276</v>
      </c>
      <c r="T31" s="147">
        <f t="shared" si="23"/>
        <v>0.6271186440677966</v>
      </c>
      <c r="U31" s="147">
        <f t="shared" si="24"/>
        <v>0.3559322033898305</v>
      </c>
      <c r="V31" s="147">
        <f t="shared" si="25"/>
        <v>0.40677966101694918</v>
      </c>
      <c r="W31" s="147">
        <f t="shared" si="26"/>
        <v>6.7796610169491525E-2</v>
      </c>
      <c r="Y31" t="s">
        <v>195</v>
      </c>
      <c r="Z31" s="214">
        <v>4.63</v>
      </c>
    </row>
    <row r="32" spans="1:26" x14ac:dyDescent="0.25">
      <c r="A32" s="143" t="s">
        <v>195</v>
      </c>
      <c r="B32" s="147">
        <f t="shared" si="5"/>
        <v>0</v>
      </c>
      <c r="C32" s="147">
        <f t="shared" si="6"/>
        <v>-5.6603773584905662E-2</v>
      </c>
      <c r="D32" s="147">
        <f t="shared" si="7"/>
        <v>-5.6603773584905662E-2</v>
      </c>
      <c r="E32" s="147">
        <f t="shared" si="8"/>
        <v>-0.13207547169811321</v>
      </c>
      <c r="F32" s="147">
        <f t="shared" si="9"/>
        <v>-0.11320754716981132</v>
      </c>
      <c r="G32" s="147">
        <f t="shared" si="10"/>
        <v>-0.22641509433962265</v>
      </c>
      <c r="H32" s="147">
        <f t="shared" si="11"/>
        <v>-0.24528301886792453</v>
      </c>
      <c r="I32" s="147">
        <f t="shared" si="12"/>
        <v>-0.13207547169811321</v>
      </c>
      <c r="J32" s="147">
        <f t="shared" si="13"/>
        <v>-5.6603773584905662E-2</v>
      </c>
      <c r="K32" s="147">
        <f t="shared" si="14"/>
        <v>-3.7735849056603772E-2</v>
      </c>
      <c r="L32" s="147">
        <f t="shared" si="15"/>
        <v>-0.15094339622641509</v>
      </c>
      <c r="M32" s="147">
        <f t="shared" si="16"/>
        <v>-0.15094339622641509</v>
      </c>
      <c r="N32" s="147">
        <f t="shared" si="17"/>
        <v>-0.22641509433962265</v>
      </c>
      <c r="O32" s="147">
        <f t="shared" si="18"/>
        <v>-0.30188679245283018</v>
      </c>
      <c r="P32" s="147">
        <f t="shared" si="19"/>
        <v>-0.45283018867924529</v>
      </c>
      <c r="Q32" s="147">
        <f t="shared" si="20"/>
        <v>-0.56603773584905659</v>
      </c>
      <c r="R32" s="147">
        <f t="shared" si="21"/>
        <v>-0.64150943396226412</v>
      </c>
      <c r="S32" s="147">
        <f t="shared" si="22"/>
        <v>-0.660377358490566</v>
      </c>
      <c r="T32" s="147">
        <f t="shared" si="23"/>
        <v>-0.660377358490566</v>
      </c>
      <c r="U32" s="147">
        <f t="shared" si="24"/>
        <v>-0.660377358490566</v>
      </c>
      <c r="V32" s="147">
        <f t="shared" si="25"/>
        <v>-0.660377358490566</v>
      </c>
      <c r="W32" s="147">
        <f t="shared" si="26"/>
        <v>-0.660377358490566</v>
      </c>
      <c r="Y32" t="s">
        <v>247</v>
      </c>
      <c r="Z32" s="214">
        <v>4.95</v>
      </c>
    </row>
    <row r="33" spans="1:26" x14ac:dyDescent="0.25">
      <c r="A33" s="178" t="s">
        <v>247</v>
      </c>
      <c r="B33" s="147">
        <f t="shared" si="5"/>
        <v>0</v>
      </c>
      <c r="C33" s="147">
        <f t="shared" si="6"/>
        <v>1.2845849802371542E-2</v>
      </c>
      <c r="D33" s="147">
        <f t="shared" si="7"/>
        <v>1.9762845849802372E-2</v>
      </c>
      <c r="E33" s="147">
        <f t="shared" si="8"/>
        <v>3.4584980237154152E-2</v>
      </c>
      <c r="F33" s="147">
        <f t="shared" si="9"/>
        <v>7.5098814229249009E-2</v>
      </c>
      <c r="G33" s="147">
        <f t="shared" si="10"/>
        <v>4.940711462450593E-3</v>
      </c>
      <c r="H33" s="147">
        <f t="shared" si="11"/>
        <v>-6.2252964426877472E-2</v>
      </c>
      <c r="I33" s="147">
        <f t="shared" si="12"/>
        <v>-9.6837944664031617E-2</v>
      </c>
      <c r="J33" s="147">
        <f t="shared" si="13"/>
        <v>-0.1857707509881423</v>
      </c>
      <c r="K33" s="147">
        <f t="shared" si="14"/>
        <v>-0.16699604743083005</v>
      </c>
      <c r="L33" s="147">
        <f t="shared" si="15"/>
        <v>-0.1541501976284585</v>
      </c>
      <c r="M33" s="147">
        <f t="shared" si="16"/>
        <v>-9.5849802371541504E-2</v>
      </c>
      <c r="N33" s="147">
        <f t="shared" si="17"/>
        <v>-7.1146245059288543E-2</v>
      </c>
      <c r="O33" s="147">
        <f t="shared" si="18"/>
        <v>-5.434782608695652E-2</v>
      </c>
      <c r="P33" s="147">
        <f t="shared" si="19"/>
        <v>-3.9525691699604744E-2</v>
      </c>
      <c r="Q33" s="147">
        <f t="shared" si="20"/>
        <v>-9.881422924901186E-3</v>
      </c>
      <c r="R33" s="147">
        <f t="shared" si="21"/>
        <v>-2.766798418972332E-2</v>
      </c>
      <c r="S33" s="147">
        <f t="shared" si="22"/>
        <v>-0.13438735177865613</v>
      </c>
      <c r="T33" s="147">
        <f t="shared" si="23"/>
        <v>-0.28260869565217389</v>
      </c>
      <c r="U33" s="147">
        <f t="shared" si="24"/>
        <v>-0.38537549407114624</v>
      </c>
      <c r="V33" s="147">
        <f t="shared" si="25"/>
        <v>-0.38833992094861658</v>
      </c>
      <c r="W33" s="147">
        <f t="shared" si="26"/>
        <v>-0.38932806324110669</v>
      </c>
      <c r="Y33" t="s">
        <v>245</v>
      </c>
      <c r="Z33" s="214">
        <v>5.78</v>
      </c>
    </row>
    <row r="34" spans="1:26" x14ac:dyDescent="0.25">
      <c r="A34" s="143" t="s">
        <v>248</v>
      </c>
      <c r="B34" s="147">
        <f t="shared" si="5"/>
        <v>0</v>
      </c>
      <c r="C34" s="147">
        <f t="shared" si="6"/>
        <v>-3.937007874015748E-3</v>
      </c>
      <c r="D34" s="147">
        <f t="shared" si="7"/>
        <v>1.3123359580052493E-3</v>
      </c>
      <c r="E34" s="147">
        <f t="shared" si="8"/>
        <v>2.0997375328083989E-2</v>
      </c>
      <c r="F34" s="147">
        <f t="shared" si="9"/>
        <v>4.9868766404199474E-2</v>
      </c>
      <c r="G34" s="147">
        <f t="shared" si="10"/>
        <v>8.0052493438320216E-2</v>
      </c>
      <c r="H34" s="147">
        <f t="shared" si="11"/>
        <v>3.4120734908136482E-2</v>
      </c>
      <c r="I34" s="147">
        <f t="shared" si="12"/>
        <v>2.0997375328083989E-2</v>
      </c>
      <c r="J34" s="147">
        <f t="shared" si="13"/>
        <v>-2.3622047244094488E-2</v>
      </c>
      <c r="K34" s="147">
        <f t="shared" si="14"/>
        <v>1.5748031496062992E-2</v>
      </c>
      <c r="L34" s="147">
        <f t="shared" si="15"/>
        <v>1.1811023622047244E-2</v>
      </c>
      <c r="M34" s="147">
        <f t="shared" si="16"/>
        <v>6.4304461942257224E-2</v>
      </c>
      <c r="N34" s="147">
        <f t="shared" si="17"/>
        <v>8.9238845144356954E-2</v>
      </c>
      <c r="O34" s="147">
        <f t="shared" si="18"/>
        <v>0.15485564304461943</v>
      </c>
      <c r="P34" s="147">
        <f t="shared" si="19"/>
        <v>0.16404199475065617</v>
      </c>
      <c r="Q34" s="147">
        <f t="shared" si="20"/>
        <v>0.24934383202099739</v>
      </c>
      <c r="R34" s="147">
        <f t="shared" si="21"/>
        <v>0.28608923884514437</v>
      </c>
      <c r="S34" s="147">
        <f t="shared" si="22"/>
        <v>0.31758530183727035</v>
      </c>
      <c r="T34" s="147">
        <f t="shared" si="23"/>
        <v>0.23884514435695539</v>
      </c>
      <c r="U34" s="147">
        <f t="shared" si="24"/>
        <v>7.874015748031496E-2</v>
      </c>
      <c r="V34" s="147">
        <f t="shared" si="25"/>
        <v>6.6929133858267723E-2</v>
      </c>
      <c r="W34" s="147">
        <f t="shared" si="26"/>
        <v>3.5433070866141732E-2</v>
      </c>
      <c r="Y34" t="s">
        <v>196</v>
      </c>
      <c r="Z34" s="214">
        <v>7.14</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8" t="s">
        <v>333</v>
      </c>
      <c r="B36" s="318"/>
      <c r="C36" s="318"/>
      <c r="D36" s="318"/>
      <c r="E36" s="318"/>
      <c r="F36" s="318"/>
      <c r="G36" s="318"/>
      <c r="H36" s="318"/>
      <c r="I36" s="318"/>
      <c r="J36" s="318"/>
      <c r="K36" s="318"/>
      <c r="L36" s="318"/>
      <c r="M36" s="318"/>
      <c r="N36" s="318"/>
      <c r="O36" s="318"/>
      <c r="P36" s="318"/>
      <c r="Q36" s="318"/>
      <c r="R36" s="318"/>
      <c r="S36" s="318"/>
    </row>
    <row r="37" spans="1:26" x14ac:dyDescent="0.25">
      <c r="A37" s="189" t="s">
        <v>186</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245</v>
      </c>
      <c r="B38" s="168">
        <v>7.71</v>
      </c>
      <c r="C38" s="168">
        <v>10.69</v>
      </c>
      <c r="D38" s="168">
        <v>10.83</v>
      </c>
      <c r="E38" s="168">
        <v>10.45</v>
      </c>
      <c r="F38" s="168">
        <v>11.2</v>
      </c>
      <c r="G38" s="168">
        <v>11.99</v>
      </c>
      <c r="H38" s="168">
        <v>12.33</v>
      </c>
      <c r="I38" s="168">
        <v>12.6</v>
      </c>
      <c r="J38" s="168">
        <v>12.6</v>
      </c>
      <c r="K38" s="168">
        <v>12.88</v>
      </c>
      <c r="L38" s="168">
        <v>12.52</v>
      </c>
      <c r="M38" s="168">
        <v>12.7</v>
      </c>
      <c r="N38" s="168">
        <v>12.22</v>
      </c>
      <c r="O38" s="168">
        <v>11.4</v>
      </c>
      <c r="P38" s="168">
        <v>12.12</v>
      </c>
      <c r="Q38" s="168">
        <v>13.07</v>
      </c>
      <c r="R38" s="168">
        <v>12.6</v>
      </c>
      <c r="S38" s="169">
        <v>13.49</v>
      </c>
      <c r="T38" s="214">
        <f>S38-(B38*1.4985)</f>
        <v>1.9365649999999999</v>
      </c>
      <c r="U38" s="223">
        <f>T38/B38</f>
        <v>0.2511757457846952</v>
      </c>
    </row>
    <row r="39" spans="1:26" ht="15.75" thickTop="1" x14ac:dyDescent="0.25">
      <c r="A39" s="143" t="s">
        <v>196</v>
      </c>
      <c r="B39" s="150">
        <v>16.04</v>
      </c>
      <c r="C39" s="150">
        <v>12.28</v>
      </c>
      <c r="D39" s="150">
        <v>11.95</v>
      </c>
      <c r="E39" s="150">
        <v>12.33</v>
      </c>
      <c r="F39" s="150">
        <v>13.83</v>
      </c>
      <c r="G39" s="150">
        <v>10.07</v>
      </c>
      <c r="H39" s="150">
        <v>8.83</v>
      </c>
      <c r="I39" s="150">
        <v>12.01</v>
      </c>
      <c r="J39" s="150">
        <v>13.48</v>
      </c>
      <c r="K39" s="150">
        <v>16.260000000000002</v>
      </c>
      <c r="L39" s="150">
        <v>12.83</v>
      </c>
      <c r="M39" s="150">
        <v>11.06</v>
      </c>
      <c r="N39" s="150">
        <v>10.82</v>
      </c>
      <c r="O39" s="150">
        <v>12.97</v>
      </c>
      <c r="P39" s="150">
        <v>13.41</v>
      </c>
      <c r="Q39" s="150">
        <v>13.14</v>
      </c>
      <c r="R39" s="150">
        <v>16.920000000000002</v>
      </c>
      <c r="S39" s="151">
        <v>23.18</v>
      </c>
      <c r="T39" s="214">
        <f t="shared" ref="T39:T43" si="27">S39-(B39*1.4985)</f>
        <v>-0.85593999999999681</v>
      </c>
      <c r="U39" s="223">
        <f>T39/B39</f>
        <v>-5.3362842892767881E-2</v>
      </c>
    </row>
    <row r="40" spans="1:26" x14ac:dyDescent="0.25">
      <c r="A40" s="143" t="s">
        <v>246</v>
      </c>
      <c r="B40" s="150">
        <v>14.57</v>
      </c>
      <c r="C40" s="150">
        <v>32.659999999999997</v>
      </c>
      <c r="D40" s="150">
        <v>34.520000000000003</v>
      </c>
      <c r="E40" s="150">
        <v>33</v>
      </c>
      <c r="F40" s="150">
        <v>26.89</v>
      </c>
      <c r="G40" s="150">
        <v>26.12</v>
      </c>
      <c r="H40" s="150">
        <v>26.6</v>
      </c>
      <c r="I40" s="150">
        <v>25.85</v>
      </c>
      <c r="J40" s="150">
        <v>25.92</v>
      </c>
      <c r="K40" s="150">
        <v>23.3</v>
      </c>
      <c r="L40" s="150">
        <v>25.77</v>
      </c>
      <c r="M40" s="150">
        <v>25.22</v>
      </c>
      <c r="N40" s="150">
        <v>26.07</v>
      </c>
      <c r="O40" s="150">
        <v>20.53</v>
      </c>
      <c r="P40" s="150">
        <v>19.489999999999998</v>
      </c>
      <c r="Q40" s="150">
        <v>18.98</v>
      </c>
      <c r="R40" s="150">
        <v>13.58</v>
      </c>
      <c r="S40" s="151">
        <v>14.41</v>
      </c>
      <c r="T40" s="214">
        <f t="shared" si="27"/>
        <v>-7.4231449999999981</v>
      </c>
      <c r="U40" s="223">
        <f t="shared" ref="U40:U43" si="28">T40/B40</f>
        <v>-0.50948146877144806</v>
      </c>
    </row>
    <row r="41" spans="1:26" x14ac:dyDescent="0.25">
      <c r="A41" s="143" t="s">
        <v>195</v>
      </c>
      <c r="B41" s="150">
        <v>23.29</v>
      </c>
      <c r="C41" s="150">
        <v>25.09</v>
      </c>
      <c r="D41" s="150">
        <v>26.03</v>
      </c>
      <c r="E41" s="150">
        <v>26.49</v>
      </c>
      <c r="F41" s="150">
        <v>25.92</v>
      </c>
      <c r="G41" s="150">
        <v>26.2</v>
      </c>
      <c r="H41" s="150">
        <v>24.02</v>
      </c>
      <c r="I41" s="150">
        <v>24.87</v>
      </c>
      <c r="J41" s="150">
        <v>26.44</v>
      </c>
      <c r="K41" s="150">
        <v>27.69</v>
      </c>
      <c r="L41" s="150">
        <v>27.17</v>
      </c>
      <c r="M41" s="150">
        <v>27.82</v>
      </c>
      <c r="N41" s="150">
        <v>30.61</v>
      </c>
      <c r="O41" s="150">
        <v>30.7</v>
      </c>
      <c r="P41" s="150">
        <v>27.92</v>
      </c>
      <c r="Q41" s="150">
        <v>27.92</v>
      </c>
      <c r="R41" s="150">
        <v>27.92</v>
      </c>
      <c r="S41" s="151">
        <v>27.92</v>
      </c>
      <c r="T41" s="214">
        <f t="shared" si="27"/>
        <v>-6.9800649999999962</v>
      </c>
      <c r="U41" s="223">
        <f t="shared" si="28"/>
        <v>-0.29970223271790453</v>
      </c>
    </row>
    <row r="42" spans="1:26" x14ac:dyDescent="0.25">
      <c r="A42" s="178" t="s">
        <v>247</v>
      </c>
      <c r="B42" s="152">
        <v>13.14</v>
      </c>
      <c r="C42" s="152">
        <v>11.6</v>
      </c>
      <c r="D42" s="152">
        <v>11.61</v>
      </c>
      <c r="E42" s="152">
        <v>12.14</v>
      </c>
      <c r="F42" s="152">
        <v>12.8</v>
      </c>
      <c r="G42" s="152">
        <v>12.99</v>
      </c>
      <c r="H42" s="152">
        <v>13.4</v>
      </c>
      <c r="I42" s="152">
        <v>13.49</v>
      </c>
      <c r="J42" s="152">
        <v>13.89</v>
      </c>
      <c r="K42" s="152">
        <v>14.4</v>
      </c>
      <c r="L42" s="152">
        <v>13.95</v>
      </c>
      <c r="M42" s="152">
        <v>13.65</v>
      </c>
      <c r="N42" s="152">
        <v>13.86</v>
      </c>
      <c r="O42" s="152">
        <v>14.26</v>
      </c>
      <c r="P42" s="152">
        <v>15.05</v>
      </c>
      <c r="Q42" s="152">
        <v>15.48</v>
      </c>
      <c r="R42" s="152">
        <v>16.91</v>
      </c>
      <c r="S42" s="153">
        <v>18.09</v>
      </c>
      <c r="T42" s="214">
        <f t="shared" si="27"/>
        <v>-1.6002900000000011</v>
      </c>
      <c r="U42" s="223">
        <f t="shared" si="28"/>
        <v>-0.12178767123287679</v>
      </c>
    </row>
    <row r="43" spans="1:26" x14ac:dyDescent="0.25">
      <c r="A43" s="143" t="s">
        <v>248</v>
      </c>
      <c r="B43" s="152">
        <v>13.1</v>
      </c>
      <c r="C43" s="152">
        <v>11.3</v>
      </c>
      <c r="D43" s="152">
        <v>11.7</v>
      </c>
      <c r="E43" s="152">
        <v>11.88</v>
      </c>
      <c r="F43" s="152">
        <v>11.99</v>
      </c>
      <c r="G43" s="152">
        <v>12.37</v>
      </c>
      <c r="H43" s="152">
        <v>12.82</v>
      </c>
      <c r="I43" s="152">
        <v>12.33</v>
      </c>
      <c r="J43" s="152">
        <v>11.09</v>
      </c>
      <c r="K43" s="152">
        <v>11.57</v>
      </c>
      <c r="L43" s="152">
        <v>12.51</v>
      </c>
      <c r="M43" s="152">
        <v>13.53</v>
      </c>
      <c r="N43" s="152">
        <v>13.95</v>
      </c>
      <c r="O43" s="152">
        <v>13.86</v>
      </c>
      <c r="P43" s="152">
        <v>14.53</v>
      </c>
      <c r="Q43" s="152">
        <v>14.18</v>
      </c>
      <c r="R43" s="152">
        <v>14.47</v>
      </c>
      <c r="S43" s="153">
        <v>15.76</v>
      </c>
      <c r="T43" s="214">
        <f t="shared" si="27"/>
        <v>-3.8703500000000002</v>
      </c>
      <c r="U43" s="223">
        <f t="shared" si="28"/>
        <v>-0.2954465648854962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8" t="s">
        <v>334</v>
      </c>
      <c r="B46" s="318"/>
      <c r="C46" s="318"/>
      <c r="D46" s="318"/>
      <c r="E46" s="318"/>
      <c r="F46" s="318"/>
      <c r="G46" s="318"/>
      <c r="H46" s="318"/>
      <c r="I46" s="318"/>
      <c r="J46" s="318"/>
      <c r="K46" s="318"/>
      <c r="L46" s="318"/>
      <c r="M46" s="318"/>
      <c r="N46" s="318"/>
      <c r="O46" s="318"/>
      <c r="P46" s="318"/>
      <c r="Q46" s="318"/>
      <c r="R46" s="318"/>
      <c r="S46" s="318"/>
    </row>
    <row r="47" spans="1:26" x14ac:dyDescent="0.25">
      <c r="A47" s="189" t="s">
        <v>186</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245</v>
      </c>
      <c r="B48" s="167">
        <f>(B38-B38)/B38</f>
        <v>0</v>
      </c>
      <c r="C48" s="167">
        <f>(C38-B38)/B38</f>
        <v>0.38651102464332032</v>
      </c>
      <c r="D48" s="167">
        <f>(D38-B38)/B38</f>
        <v>0.40466926070038911</v>
      </c>
      <c r="E48" s="167">
        <f>(E38-B38)/B38</f>
        <v>0.35538261997405957</v>
      </c>
      <c r="F48" s="167">
        <f>(F38-B38)/B38</f>
        <v>0.45265888456549924</v>
      </c>
      <c r="G48" s="167">
        <f>(G38-B38)/B38</f>
        <v>0.55512321660181585</v>
      </c>
      <c r="H48" s="167">
        <f>(H38-B38)/B38</f>
        <v>0.59922178988326846</v>
      </c>
      <c r="I48" s="167">
        <f>(I38-B38)/B38</f>
        <v>0.63424124513618674</v>
      </c>
      <c r="J48" s="167">
        <f>(J38-B38)/B38</f>
        <v>0.63424124513618674</v>
      </c>
      <c r="K48" s="167">
        <f>(K38-B38)/B38</f>
        <v>0.67055771725032431</v>
      </c>
      <c r="L48" s="167">
        <f>(L38-B38)/B38</f>
        <v>0.62386511024643321</v>
      </c>
      <c r="M48" s="167">
        <f>(M38-B38)/B38</f>
        <v>0.64721141374837865</v>
      </c>
      <c r="N48" s="167">
        <f>(N38-B38)/B38</f>
        <v>0.58495460440985747</v>
      </c>
      <c r="O48" s="167">
        <f>(O38-B38)/B38</f>
        <v>0.47859922178988334</v>
      </c>
      <c r="P48" s="167">
        <f>(P38-B38)/B38</f>
        <v>0.57198443579766522</v>
      </c>
      <c r="Q48" s="167">
        <f>(Q38-B38)/B38</f>
        <v>0.69520103761348906</v>
      </c>
      <c r="R48" s="167">
        <f>(R38-B38)/B38</f>
        <v>0.63424124513618674</v>
      </c>
      <c r="S48" s="167">
        <f>(S38-B38)/B38</f>
        <v>0.7496757457846952</v>
      </c>
    </row>
    <row r="49" spans="1:19" ht="15.75" thickTop="1" x14ac:dyDescent="0.25">
      <c r="A49" s="143" t="s">
        <v>196</v>
      </c>
      <c r="B49" s="147">
        <f t="shared" ref="B49:B53" si="29">(B39-B39)/B39</f>
        <v>0</v>
      </c>
      <c r="C49" s="147">
        <f t="shared" ref="C49:C53" si="30">(C39-B39)/B39</f>
        <v>-0.23441396508728179</v>
      </c>
      <c r="D49" s="147">
        <f t="shared" ref="D49:D53" si="31">(D39-B39)/B39</f>
        <v>-0.25498753117206985</v>
      </c>
      <c r="E49" s="147">
        <f t="shared" ref="E49:E53" si="32">(E39-B39)/B39</f>
        <v>-0.2312967581047381</v>
      </c>
      <c r="F49" s="147">
        <f t="shared" ref="F49:F53" si="33">(F39-B39)/B39</f>
        <v>-0.13778054862842887</v>
      </c>
      <c r="G49" s="147">
        <f t="shared" ref="G49:G53" si="34">(G39-B39)/B39</f>
        <v>-0.37219451371571066</v>
      </c>
      <c r="H49" s="147">
        <f t="shared" ref="H49:H53" si="35">(H39-B39)/B39</f>
        <v>-0.44950124688279297</v>
      </c>
      <c r="I49" s="147">
        <f t="shared" ref="I49:I53" si="36">(I39-B39)/B39</f>
        <v>-0.25124688279301743</v>
      </c>
      <c r="J49" s="147">
        <f t="shared" ref="J49:J53" si="37">(J39-B39)/B39</f>
        <v>-0.15960099750623435</v>
      </c>
      <c r="K49" s="147">
        <f t="shared" ref="K49:K53" si="38">(K39-B39)/B39</f>
        <v>1.3715710723192172E-2</v>
      </c>
      <c r="L49" s="147">
        <f t="shared" ref="L49:L53" si="39">(L39-B39)/B39</f>
        <v>-0.20012468827930169</v>
      </c>
      <c r="M49" s="147">
        <f t="shared" ref="M49:M53" si="40">(M39-B39)/B39</f>
        <v>-0.31047381546134656</v>
      </c>
      <c r="N49" s="147">
        <f t="shared" ref="N49:N53" si="41">(N39-B39)/B39</f>
        <v>-0.32543640897755605</v>
      </c>
      <c r="O49" s="147">
        <f t="shared" ref="O49:O53" si="42">(O39-B39)/B39</f>
        <v>-0.19139650872817948</v>
      </c>
      <c r="P49" s="147">
        <f t="shared" ref="P49:P53" si="43">(P39-B39)/B39</f>
        <v>-0.16396508728179546</v>
      </c>
      <c r="Q49" s="147">
        <f t="shared" ref="Q49:Q53" si="44">(Q39-B39)/B39</f>
        <v>-0.1807980049875311</v>
      </c>
      <c r="R49" s="147">
        <f t="shared" ref="R49:R53" si="45">(R39-B39)/B39</f>
        <v>5.4862842892768243E-2</v>
      </c>
      <c r="S49" s="147">
        <f t="shared" ref="S49:S53" si="46">(S39-B39)/B39</f>
        <v>0.44513715710723201</v>
      </c>
    </row>
    <row r="50" spans="1:19" x14ac:dyDescent="0.25">
      <c r="A50" s="143" t="s">
        <v>246</v>
      </c>
      <c r="B50" s="147">
        <f t="shared" si="29"/>
        <v>0</v>
      </c>
      <c r="C50" s="147">
        <f t="shared" si="30"/>
        <v>1.2415923129718598</v>
      </c>
      <c r="D50" s="147">
        <f t="shared" si="31"/>
        <v>1.3692518874399453</v>
      </c>
      <c r="E50" s="147">
        <f t="shared" si="32"/>
        <v>1.2649279341111874</v>
      </c>
      <c r="F50" s="147">
        <f t="shared" si="33"/>
        <v>0.84557309540150993</v>
      </c>
      <c r="G50" s="147">
        <f t="shared" si="34"/>
        <v>0.79272477693891563</v>
      </c>
      <c r="H50" s="147">
        <f t="shared" si="35"/>
        <v>0.82566918325326022</v>
      </c>
      <c r="I50" s="147">
        <f t="shared" si="36"/>
        <v>0.77419354838709686</v>
      </c>
      <c r="J50" s="147">
        <f t="shared" si="37"/>
        <v>0.7789979409746054</v>
      </c>
      <c r="K50" s="147">
        <f t="shared" si="38"/>
        <v>0.59917638984214139</v>
      </c>
      <c r="L50" s="147">
        <f t="shared" si="39"/>
        <v>0.76870281400137264</v>
      </c>
      <c r="M50" s="147">
        <f t="shared" si="40"/>
        <v>0.73095401509951941</v>
      </c>
      <c r="N50" s="147">
        <f t="shared" si="41"/>
        <v>0.78929306794783805</v>
      </c>
      <c r="O50" s="147">
        <f t="shared" si="42"/>
        <v>0.40905971173644479</v>
      </c>
      <c r="P50" s="147">
        <f t="shared" si="43"/>
        <v>0.33768016472203144</v>
      </c>
      <c r="Q50" s="147">
        <f t="shared" si="44"/>
        <v>0.30267673301304049</v>
      </c>
      <c r="R50" s="147">
        <f t="shared" si="45"/>
        <v>-6.7947838023335635E-2</v>
      </c>
      <c r="S50" s="147">
        <f t="shared" si="46"/>
        <v>-1.0981468771448191E-2</v>
      </c>
    </row>
    <row r="51" spans="1:19" x14ac:dyDescent="0.25">
      <c r="A51" s="143" t="s">
        <v>195</v>
      </c>
      <c r="B51" s="147">
        <f t="shared" si="29"/>
        <v>0</v>
      </c>
      <c r="C51" s="147">
        <f t="shared" si="30"/>
        <v>7.7286389008158041E-2</v>
      </c>
      <c r="D51" s="147">
        <f t="shared" si="31"/>
        <v>0.11764705882352951</v>
      </c>
      <c r="E51" s="147">
        <f t="shared" si="32"/>
        <v>0.13739802490339198</v>
      </c>
      <c r="F51" s="147">
        <f t="shared" si="33"/>
        <v>0.11292400171747542</v>
      </c>
      <c r="G51" s="147">
        <f t="shared" si="34"/>
        <v>0.12494632889652213</v>
      </c>
      <c r="H51" s="147">
        <f t="shared" si="35"/>
        <v>3.1343924431086322E-2</v>
      </c>
      <c r="I51" s="147">
        <f t="shared" si="36"/>
        <v>6.7840274796049885E-2</v>
      </c>
      <c r="J51" s="147">
        <f t="shared" si="37"/>
        <v>0.13525118076427661</v>
      </c>
      <c r="K51" s="147">
        <f t="shared" si="38"/>
        <v>0.18892228424216412</v>
      </c>
      <c r="L51" s="147">
        <f t="shared" si="39"/>
        <v>0.16659510519536294</v>
      </c>
      <c r="M51" s="147">
        <f t="shared" si="40"/>
        <v>0.19450407900386438</v>
      </c>
      <c r="N51" s="147">
        <f t="shared" si="41"/>
        <v>0.31429798196650927</v>
      </c>
      <c r="O51" s="147">
        <f t="shared" si="42"/>
        <v>0.31816230141691715</v>
      </c>
      <c r="P51" s="147">
        <f t="shared" si="43"/>
        <v>0.19879776728209544</v>
      </c>
      <c r="Q51" s="147">
        <f t="shared" si="44"/>
        <v>0.19879776728209544</v>
      </c>
      <c r="R51" s="147">
        <f t="shared" si="45"/>
        <v>0.19879776728209544</v>
      </c>
      <c r="S51" s="147">
        <f t="shared" si="46"/>
        <v>0.19879776728209544</v>
      </c>
    </row>
    <row r="52" spans="1:19" x14ac:dyDescent="0.25">
      <c r="A52" s="178" t="s">
        <v>247</v>
      </c>
      <c r="B52" s="147">
        <f t="shared" si="29"/>
        <v>0</v>
      </c>
      <c r="C52" s="147">
        <f t="shared" si="30"/>
        <v>-0.11719939117199397</v>
      </c>
      <c r="D52" s="147">
        <f t="shared" si="31"/>
        <v>-0.11643835616438364</v>
      </c>
      <c r="E52" s="147">
        <f t="shared" si="32"/>
        <v>-7.6103500761035003E-2</v>
      </c>
      <c r="F52" s="147">
        <f t="shared" si="33"/>
        <v>-2.5875190258751891E-2</v>
      </c>
      <c r="G52" s="147">
        <f t="shared" si="34"/>
        <v>-1.1415525114155278E-2</v>
      </c>
      <c r="H52" s="147">
        <f t="shared" si="35"/>
        <v>1.9786910197869084E-2</v>
      </c>
      <c r="I52" s="147">
        <f t="shared" si="36"/>
        <v>2.6636225266362223E-2</v>
      </c>
      <c r="J52" s="147">
        <f t="shared" si="37"/>
        <v>5.7077625570776253E-2</v>
      </c>
      <c r="K52" s="147">
        <f t="shared" si="38"/>
        <v>9.589041095890409E-2</v>
      </c>
      <c r="L52" s="147">
        <f t="shared" si="39"/>
        <v>6.1643835616438256E-2</v>
      </c>
      <c r="M52" s="147">
        <f t="shared" si="40"/>
        <v>3.8812785388127838E-2</v>
      </c>
      <c r="N52" s="147">
        <f t="shared" si="41"/>
        <v>5.4794520547945119E-2</v>
      </c>
      <c r="O52" s="147">
        <f t="shared" si="42"/>
        <v>8.5235920852359148E-2</v>
      </c>
      <c r="P52" s="147">
        <f t="shared" si="43"/>
        <v>0.14535768645357686</v>
      </c>
      <c r="Q52" s="147">
        <f t="shared" si="44"/>
        <v>0.17808219178082191</v>
      </c>
      <c r="R52" s="147">
        <f t="shared" si="45"/>
        <v>0.28691019786910194</v>
      </c>
      <c r="S52" s="147">
        <f t="shared" si="46"/>
        <v>0.37671232876712324</v>
      </c>
    </row>
    <row r="53" spans="1:19" x14ac:dyDescent="0.25">
      <c r="A53" s="143" t="s">
        <v>248</v>
      </c>
      <c r="B53" s="147">
        <f t="shared" si="29"/>
        <v>0</v>
      </c>
      <c r="C53" s="147">
        <f t="shared" si="30"/>
        <v>-0.13740458015267168</v>
      </c>
      <c r="D53" s="147">
        <f t="shared" si="31"/>
        <v>-0.10687022900763361</v>
      </c>
      <c r="E53" s="147">
        <f t="shared" si="32"/>
        <v>-9.3129770992366329E-2</v>
      </c>
      <c r="F53" s="147">
        <f t="shared" si="33"/>
        <v>-8.4732824427480868E-2</v>
      </c>
      <c r="G53" s="147">
        <f t="shared" si="34"/>
        <v>-5.572519083969469E-2</v>
      </c>
      <c r="H53" s="147">
        <f t="shared" si="35"/>
        <v>-2.1374045801526669E-2</v>
      </c>
      <c r="I53" s="147">
        <f t="shared" si="36"/>
        <v>-5.8778625954198443E-2</v>
      </c>
      <c r="J53" s="147">
        <f t="shared" si="37"/>
        <v>-0.15343511450381678</v>
      </c>
      <c r="K53" s="147">
        <f t="shared" si="38"/>
        <v>-0.11679389312977094</v>
      </c>
      <c r="L53" s="147">
        <f t="shared" si="39"/>
        <v>-4.5038167938931291E-2</v>
      </c>
      <c r="M53" s="147">
        <f t="shared" si="40"/>
        <v>3.2824427480916012E-2</v>
      </c>
      <c r="N53" s="147">
        <f t="shared" si="41"/>
        <v>6.4885496183206076E-2</v>
      </c>
      <c r="O53" s="147">
        <f t="shared" si="42"/>
        <v>5.8015267175572503E-2</v>
      </c>
      <c r="P53" s="147">
        <f t="shared" si="43"/>
        <v>0.10916030534351143</v>
      </c>
      <c r="Q53" s="147">
        <f t="shared" si="44"/>
        <v>8.2442748091603055E-2</v>
      </c>
      <c r="R53" s="147">
        <f t="shared" si="45"/>
        <v>0.1045801526717558</v>
      </c>
      <c r="S53" s="147">
        <f t="shared" si="46"/>
        <v>0.20305343511450383</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zoomScaleNormal="100" workbookViewId="0">
      <selection activeCell="W26" sqref="W2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2" t="s">
        <v>249</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3" spans="1:28" ht="15.75" x14ac:dyDescent="0.25">
      <c r="A3" s="318" t="s">
        <v>250</v>
      </c>
      <c r="B3" s="318"/>
      <c r="C3" s="318"/>
      <c r="D3" s="318"/>
      <c r="E3" s="318"/>
      <c r="F3" s="318"/>
      <c r="G3" s="318"/>
      <c r="H3" s="318"/>
      <c r="I3" s="318"/>
      <c r="J3" s="318"/>
      <c r="K3" s="318"/>
      <c r="L3" s="318"/>
      <c r="M3" s="318"/>
      <c r="N3" s="318"/>
      <c r="O3" s="318"/>
      <c r="P3" s="318"/>
      <c r="Q3" s="318"/>
      <c r="R3" s="318"/>
      <c r="S3" s="318"/>
      <c r="T3" s="318"/>
      <c r="U3" s="318"/>
      <c r="V3" s="318"/>
      <c r="W3" s="318"/>
      <c r="X3" s="142"/>
    </row>
    <row r="4" spans="1:28" x14ac:dyDescent="0.2">
      <c r="A4" s="189" t="s">
        <v>186</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218</v>
      </c>
      <c r="B5" s="144">
        <f>'3C'!B19</f>
        <v>765</v>
      </c>
      <c r="C5" s="144">
        <f>'3C'!C19</f>
        <v>767</v>
      </c>
      <c r="D5" s="144">
        <f>'3C'!D19</f>
        <v>753</v>
      </c>
      <c r="E5" s="144">
        <f>'3C'!E19</f>
        <v>739</v>
      </c>
      <c r="F5" s="144">
        <f>'3C'!F19</f>
        <v>744</v>
      </c>
      <c r="G5" s="144">
        <f>'3C'!G19</f>
        <v>761</v>
      </c>
      <c r="H5" s="144">
        <f>'3C'!H19</f>
        <v>755</v>
      </c>
      <c r="I5" s="144">
        <f>'3C'!I19</f>
        <v>744</v>
      </c>
      <c r="J5" s="144">
        <f>'3C'!J19</f>
        <v>718</v>
      </c>
      <c r="K5" s="144">
        <f>'3C'!K19</f>
        <v>705</v>
      </c>
      <c r="L5" s="144">
        <f>'3C'!L19</f>
        <v>649</v>
      </c>
      <c r="M5" s="144">
        <f>'3C'!M19</f>
        <v>618</v>
      </c>
      <c r="N5" s="144">
        <f>'3C'!N19</f>
        <v>581</v>
      </c>
      <c r="O5" s="144">
        <f>'3C'!O19</f>
        <v>546</v>
      </c>
      <c r="P5" s="144">
        <f>'3C'!P19</f>
        <v>558</v>
      </c>
      <c r="Q5" s="144">
        <f>'3C'!Q19</f>
        <v>556</v>
      </c>
      <c r="R5" s="144">
        <f>'3C'!R19</f>
        <v>569</v>
      </c>
      <c r="S5" s="144">
        <f>'3C'!S19</f>
        <v>597</v>
      </c>
      <c r="T5" s="144">
        <f>'3C'!T19</f>
        <v>600</v>
      </c>
      <c r="U5" s="144">
        <f>'3C'!U19</f>
        <v>531</v>
      </c>
      <c r="V5" s="144">
        <f>'3C'!V19</f>
        <v>529</v>
      </c>
      <c r="W5" s="144">
        <f>'3C'!W19</f>
        <v>538</v>
      </c>
      <c r="X5" s="145"/>
    </row>
    <row r="6" spans="1:28" x14ac:dyDescent="0.2">
      <c r="A6" s="143" t="s">
        <v>219</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220</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8" t="s">
        <v>251</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8" x14ac:dyDescent="0.2">
      <c r="A11" s="189" t="s">
        <v>186</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218</v>
      </c>
      <c r="B12" s="170">
        <f>(B5-B5)/B5</f>
        <v>0</v>
      </c>
      <c r="C12" s="170">
        <f>(C5-B5)/B5</f>
        <v>2.6143790849673201E-3</v>
      </c>
      <c r="D12" s="170">
        <f>(D5-B5)/B5</f>
        <v>-1.5686274509803921E-2</v>
      </c>
      <c r="E12" s="170">
        <f>(E5-B5)/B5</f>
        <v>-3.3986928104575161E-2</v>
      </c>
      <c r="F12" s="170">
        <f>(F5-B5)/B5</f>
        <v>-2.7450980392156862E-2</v>
      </c>
      <c r="G12" s="170">
        <f>(G5-B5)/B5</f>
        <v>-5.2287581699346402E-3</v>
      </c>
      <c r="H12" s="170">
        <f>(H5-B5)/B5</f>
        <v>-1.3071895424836602E-2</v>
      </c>
      <c r="I12" s="170">
        <f>(I5-B5)/B5</f>
        <v>-2.7450980392156862E-2</v>
      </c>
      <c r="J12" s="170">
        <f>(J5-B5)/B5</f>
        <v>-6.1437908496732023E-2</v>
      </c>
      <c r="K12" s="170">
        <f>(K5-B5)/B5</f>
        <v>-7.8431372549019607E-2</v>
      </c>
      <c r="L12" s="170">
        <f>(L5-B5)/B5</f>
        <v>-0.15163398692810456</v>
      </c>
      <c r="M12" s="170">
        <f>(M5-B5)/B5</f>
        <v>-0.19215686274509805</v>
      </c>
      <c r="N12" s="170">
        <f>(N5-B5)/B5</f>
        <v>-0.24052287581699347</v>
      </c>
      <c r="O12" s="170">
        <f>(O5-B5)/B5</f>
        <v>-0.28627450980392155</v>
      </c>
      <c r="P12" s="170">
        <f>(P5-B5)/B5</f>
        <v>-0.27058823529411763</v>
      </c>
      <c r="Q12" s="170">
        <f>(Q5-B5)/B5</f>
        <v>-0.27320261437908494</v>
      </c>
      <c r="R12" s="170">
        <f>(R5-B5)/B5</f>
        <v>-0.25620915032679736</v>
      </c>
      <c r="S12" s="170">
        <f>(S5-B5)/B5</f>
        <v>-0.2196078431372549</v>
      </c>
      <c r="T12" s="170">
        <f>(T5-B5)/B5</f>
        <v>-0.21568627450980393</v>
      </c>
      <c r="U12" s="170">
        <f>(U5-B5)/B5</f>
        <v>-0.30588235294117649</v>
      </c>
      <c r="V12" s="170">
        <f>(V5-B5)/B5</f>
        <v>-0.30849673202614381</v>
      </c>
      <c r="W12" s="170">
        <f>(W5-B5)/B5</f>
        <v>-0.29673202614379085</v>
      </c>
    </row>
    <row r="13" spans="1:28" x14ac:dyDescent="0.2">
      <c r="A13" s="143" t="s">
        <v>219</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220</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18" t="s">
        <v>252</v>
      </c>
      <c r="B16" s="318"/>
      <c r="C16" s="318"/>
      <c r="D16" s="318"/>
      <c r="E16" s="318"/>
      <c r="F16" s="318"/>
      <c r="G16" s="318"/>
      <c r="H16" s="318"/>
      <c r="I16" s="318"/>
      <c r="J16" s="318"/>
      <c r="K16" s="318"/>
      <c r="L16" s="318"/>
      <c r="M16" s="318"/>
      <c r="N16" s="318"/>
      <c r="O16" s="318"/>
      <c r="P16" s="318"/>
      <c r="Q16" s="318"/>
      <c r="R16" s="318"/>
      <c r="S16" s="318"/>
      <c r="T16"/>
      <c r="U16"/>
      <c r="V16"/>
      <c r="W16"/>
    </row>
    <row r="17" spans="1:23" ht="15" x14ac:dyDescent="0.25">
      <c r="A17" s="189" t="s">
        <v>186</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218</v>
      </c>
      <c r="B18" s="150">
        <f>'3C'!B38</f>
        <v>7.71</v>
      </c>
      <c r="C18" s="150">
        <f>'3C'!C38</f>
        <v>10.69</v>
      </c>
      <c r="D18" s="150">
        <f>'3C'!D38</f>
        <v>10.83</v>
      </c>
      <c r="E18" s="150">
        <f>'3C'!E38</f>
        <v>10.45</v>
      </c>
      <c r="F18" s="150">
        <f>'3C'!F38</f>
        <v>11.2</v>
      </c>
      <c r="G18" s="150">
        <f>'3C'!G38</f>
        <v>11.99</v>
      </c>
      <c r="H18" s="150">
        <f>'3C'!H38</f>
        <v>12.33</v>
      </c>
      <c r="I18" s="150">
        <f>'3C'!I38</f>
        <v>12.6</v>
      </c>
      <c r="J18" s="150">
        <f>'3C'!J38</f>
        <v>12.6</v>
      </c>
      <c r="K18" s="150">
        <f>'3C'!K38</f>
        <v>12.88</v>
      </c>
      <c r="L18" s="150">
        <f>'3C'!L38</f>
        <v>12.52</v>
      </c>
      <c r="M18" s="150">
        <f>'3C'!M38</f>
        <v>12.7</v>
      </c>
      <c r="N18" s="150">
        <f>'3C'!N38</f>
        <v>12.22</v>
      </c>
      <c r="O18" s="150">
        <f>'3C'!O38</f>
        <v>11.4</v>
      </c>
      <c r="P18" s="150">
        <f>'3C'!P38</f>
        <v>12.12</v>
      </c>
      <c r="Q18" s="150">
        <f>'3C'!Q38</f>
        <v>13.07</v>
      </c>
      <c r="R18" s="150">
        <f>'3C'!R38</f>
        <v>12.6</v>
      </c>
      <c r="S18" s="150">
        <f>'3C'!S38</f>
        <v>13.49</v>
      </c>
      <c r="T18"/>
      <c r="U18"/>
      <c r="V18"/>
      <c r="W18"/>
    </row>
    <row r="19" spans="1:23" ht="15" x14ac:dyDescent="0.25">
      <c r="A19" s="143" t="s">
        <v>219</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220</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8" t="s">
        <v>253</v>
      </c>
      <c r="B23" s="318"/>
      <c r="C23" s="318"/>
      <c r="D23" s="318"/>
      <c r="E23" s="318"/>
      <c r="F23" s="318"/>
      <c r="G23" s="318"/>
      <c r="H23" s="318"/>
      <c r="I23" s="318"/>
      <c r="J23" s="318"/>
      <c r="K23" s="318"/>
      <c r="L23" s="318"/>
      <c r="M23" s="318"/>
      <c r="N23" s="318"/>
      <c r="O23" s="318"/>
      <c r="P23" s="318"/>
      <c r="Q23" s="318"/>
      <c r="R23" s="318"/>
      <c r="S23" s="318"/>
      <c r="T23"/>
      <c r="U23"/>
      <c r="V23"/>
      <c r="W23"/>
    </row>
    <row r="24" spans="1:23" ht="15" x14ac:dyDescent="0.25">
      <c r="A24" s="189" t="s">
        <v>186</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318</v>
      </c>
      <c r="B25" s="170">
        <f>(B18-B18)/B18</f>
        <v>0</v>
      </c>
      <c r="C25" s="170">
        <f>(C18-B18)/B18</f>
        <v>0.38651102464332032</v>
      </c>
      <c r="D25" s="170">
        <f>(D18-B18)/B18</f>
        <v>0.40466926070038911</v>
      </c>
      <c r="E25" s="170">
        <f>(E18-B18)/B18</f>
        <v>0.35538261997405957</v>
      </c>
      <c r="F25" s="170">
        <f>(F18-B18)/B18</f>
        <v>0.45265888456549924</v>
      </c>
      <c r="G25" s="170">
        <f>(G18-B18)/B18</f>
        <v>0.55512321660181585</v>
      </c>
      <c r="H25" s="170">
        <f>(H18-B18)/B18</f>
        <v>0.59922178988326846</v>
      </c>
      <c r="I25" s="170">
        <f>(I18-B18)/B18</f>
        <v>0.63424124513618674</v>
      </c>
      <c r="J25" s="170">
        <f>(J18-B18)/B18</f>
        <v>0.63424124513618674</v>
      </c>
      <c r="K25" s="170">
        <f>(K18-B18)/B18</f>
        <v>0.67055771725032431</v>
      </c>
      <c r="L25" s="170">
        <f>(L18-B18)/B18</f>
        <v>0.62386511024643321</v>
      </c>
      <c r="M25" s="170">
        <f>(M18-B18)/B18</f>
        <v>0.64721141374837865</v>
      </c>
      <c r="N25" s="170">
        <f>(N18-B18)/B18</f>
        <v>0.58495460440985747</v>
      </c>
      <c r="O25" s="170">
        <f>(O18-B18)/B18</f>
        <v>0.47859922178988334</v>
      </c>
      <c r="P25" s="170">
        <f>(P18-B18)/B18</f>
        <v>0.57198443579766522</v>
      </c>
      <c r="Q25" s="170">
        <f>(Q18-B18)/B18</f>
        <v>0.69520103761348906</v>
      </c>
      <c r="R25" s="170">
        <f>(R18-B18)/B18</f>
        <v>0.63424124513618674</v>
      </c>
      <c r="S25" s="170">
        <f>(S18-B18)/B18</f>
        <v>0.7496757457846952</v>
      </c>
      <c r="T25"/>
      <c r="U25"/>
      <c r="V25"/>
      <c r="W25"/>
    </row>
    <row r="26" spans="1:23" ht="15" x14ac:dyDescent="0.25">
      <c r="A26" s="143" t="s">
        <v>219</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220</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D27" sqref="D2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254</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4" spans="1:27" ht="15" x14ac:dyDescent="0.25">
      <c r="A4" s="323" t="s">
        <v>335</v>
      </c>
      <c r="B4" s="323"/>
      <c r="C4" s="323"/>
      <c r="D4" s="323"/>
    </row>
    <row r="5" spans="1:27" ht="15" x14ac:dyDescent="0.25">
      <c r="A5" s="324" t="s">
        <v>201</v>
      </c>
      <c r="B5" s="325"/>
      <c r="C5" s="324" t="s">
        <v>202</v>
      </c>
      <c r="D5" s="324"/>
    </row>
    <row r="6" spans="1:27" x14ac:dyDescent="0.2">
      <c r="A6" s="154" t="s">
        <v>203</v>
      </c>
      <c r="B6" s="155" t="s">
        <v>192</v>
      </c>
      <c r="C6" s="154" t="s">
        <v>203</v>
      </c>
      <c r="D6" s="156" t="s">
        <v>192</v>
      </c>
    </row>
    <row r="7" spans="1:27" x14ac:dyDescent="0.2">
      <c r="A7" s="1" t="s">
        <v>255</v>
      </c>
      <c r="B7" s="157">
        <f>18304/110210</f>
        <v>0.16608293258325016</v>
      </c>
      <c r="C7" s="1" t="s">
        <v>255</v>
      </c>
      <c r="D7" s="158">
        <v>0.17019999999999999</v>
      </c>
    </row>
    <row r="8" spans="1:27" x14ac:dyDescent="0.2">
      <c r="A8" s="1" t="s">
        <v>206</v>
      </c>
      <c r="B8" s="157">
        <f>10725/110210</f>
        <v>9.7314218310498135E-2</v>
      </c>
      <c r="C8" s="1" t="s">
        <v>206</v>
      </c>
      <c r="D8" s="158">
        <v>0.15160000000000001</v>
      </c>
    </row>
    <row r="9" spans="1:27" x14ac:dyDescent="0.2">
      <c r="A9" s="1" t="s">
        <v>207</v>
      </c>
      <c r="B9" s="157">
        <f>10207/110210</f>
        <v>9.2614100353869883E-2</v>
      </c>
      <c r="C9" s="1" t="s">
        <v>256</v>
      </c>
      <c r="D9" s="158">
        <v>0.1263</v>
      </c>
    </row>
    <row r="10" spans="1:27" x14ac:dyDescent="0.2">
      <c r="A10" s="1" t="s">
        <v>212</v>
      </c>
      <c r="B10" s="157">
        <f>9763/110210</f>
        <v>8.8585427819617091E-2</v>
      </c>
      <c r="C10" s="1" t="s">
        <v>207</v>
      </c>
      <c r="D10" s="158">
        <v>0.10630000000000001</v>
      </c>
    </row>
    <row r="11" spans="1:27" x14ac:dyDescent="0.2">
      <c r="A11" s="1" t="s">
        <v>257</v>
      </c>
      <c r="B11" s="157">
        <f>8430/110210</f>
        <v>7.6490336630069863E-2</v>
      </c>
      <c r="C11" s="1" t="s">
        <v>257</v>
      </c>
      <c r="D11" s="158">
        <v>0.10229000000000001</v>
      </c>
    </row>
    <row r="12" spans="1:27" x14ac:dyDescent="0.2">
      <c r="A12" s="1" t="s">
        <v>214</v>
      </c>
      <c r="B12" s="157">
        <f>8103/110210</f>
        <v>7.3523273750113416E-2</v>
      </c>
      <c r="C12" s="1" t="s">
        <v>212</v>
      </c>
      <c r="D12" s="158">
        <v>9.5100000000000004E-2</v>
      </c>
    </row>
    <row r="13" spans="1:27" x14ac:dyDescent="0.2">
      <c r="A13" s="1" t="s">
        <v>256</v>
      </c>
      <c r="B13" s="157">
        <f>6690/110210</f>
        <v>6.0702295617457581E-2</v>
      </c>
      <c r="C13" s="1" t="s">
        <v>213</v>
      </c>
      <c r="D13" s="158">
        <v>8.5220000000000004E-2</v>
      </c>
    </row>
    <row r="14" spans="1:27" x14ac:dyDescent="0.2">
      <c r="A14" s="1" t="s">
        <v>208</v>
      </c>
      <c r="B14" s="157">
        <f>6038/110210</f>
        <v>5.4786317031122404E-2</v>
      </c>
      <c r="C14" s="1" t="s">
        <v>214</v>
      </c>
      <c r="D14" s="158">
        <v>5.6599999999999998E-2</v>
      </c>
    </row>
    <row r="15" spans="1:27" x14ac:dyDescent="0.2">
      <c r="A15" s="1" t="s">
        <v>258</v>
      </c>
      <c r="B15" s="157">
        <f>5858/110210</f>
        <v>5.3153071409128026E-2</v>
      </c>
      <c r="C15" s="1" t="s">
        <v>204</v>
      </c>
      <c r="D15" s="158">
        <v>5.3080000000000002E-2</v>
      </c>
    </row>
    <row r="16" spans="1:27" x14ac:dyDescent="0.2">
      <c r="A16" s="1" t="s">
        <v>213</v>
      </c>
      <c r="B16" s="157">
        <v>5.2999999999999999E-2</v>
      </c>
      <c r="C16" s="1" t="s">
        <v>209</v>
      </c>
      <c r="D16" s="158">
        <v>5.2979999999999999E-2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E46" sqref="E46"/>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259</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3" spans="1:27" ht="15" x14ac:dyDescent="0.25">
      <c r="A3" s="193" t="s">
        <v>336</v>
      </c>
      <c r="B3" s="193"/>
      <c r="C3" s="193"/>
      <c r="D3" s="193"/>
      <c r="F3" s="323" t="s">
        <v>337</v>
      </c>
      <c r="G3" s="323"/>
      <c r="H3" s="323"/>
    </row>
    <row r="4" spans="1:27" ht="28.5" x14ac:dyDescent="0.2">
      <c r="A4" s="191" t="s">
        <v>227</v>
      </c>
      <c r="B4" s="191" t="s">
        <v>228</v>
      </c>
      <c r="C4" s="192" t="s">
        <v>229</v>
      </c>
      <c r="D4" s="1"/>
      <c r="F4" s="191" t="s">
        <v>230</v>
      </c>
      <c r="G4" s="192" t="s">
        <v>231</v>
      </c>
      <c r="H4" s="37" t="s">
        <v>232</v>
      </c>
      <c r="O4" s="1"/>
    </row>
    <row r="5" spans="1:27" ht="15" x14ac:dyDescent="0.25">
      <c r="A5" s="160">
        <v>43313</v>
      </c>
      <c r="B5">
        <v>5</v>
      </c>
      <c r="C5" s="218" t="s">
        <v>233</v>
      </c>
      <c r="D5" s="161"/>
      <c r="F5" s="1" t="s">
        <v>320</v>
      </c>
      <c r="G5" s="159">
        <v>5</v>
      </c>
      <c r="H5" s="203" t="s">
        <v>235</v>
      </c>
      <c r="O5" s="1"/>
    </row>
    <row r="6" spans="1:27" ht="15" x14ac:dyDescent="0.25">
      <c r="A6" s="160">
        <v>43344</v>
      </c>
      <c r="B6">
        <v>0</v>
      </c>
      <c r="C6" s="218" t="s">
        <v>233</v>
      </c>
      <c r="D6" s="161"/>
      <c r="F6" s="1" t="s">
        <v>338</v>
      </c>
      <c r="G6" s="159">
        <v>3</v>
      </c>
      <c r="H6" s="203" t="s">
        <v>347</v>
      </c>
      <c r="O6" s="1"/>
    </row>
    <row r="7" spans="1:27" ht="15" x14ac:dyDescent="0.25">
      <c r="A7" s="160">
        <v>43374</v>
      </c>
      <c r="B7">
        <v>8</v>
      </c>
      <c r="C7" s="218" t="s">
        <v>233</v>
      </c>
      <c r="D7" s="161"/>
      <c r="F7" s="1" t="s">
        <v>339</v>
      </c>
      <c r="G7" s="159">
        <v>3</v>
      </c>
      <c r="H7" s="203" t="s">
        <v>348</v>
      </c>
      <c r="O7" s="1"/>
    </row>
    <row r="8" spans="1:27" ht="15" x14ac:dyDescent="0.25">
      <c r="A8" s="160">
        <v>43405</v>
      </c>
      <c r="B8">
        <v>0</v>
      </c>
      <c r="C8" s="218" t="s">
        <v>233</v>
      </c>
      <c r="D8" s="161"/>
      <c r="F8" s="1" t="s">
        <v>340</v>
      </c>
      <c r="G8" s="159">
        <v>2</v>
      </c>
      <c r="H8" s="203" t="s">
        <v>235</v>
      </c>
      <c r="O8" s="1"/>
    </row>
    <row r="9" spans="1:27" ht="15" x14ac:dyDescent="0.25">
      <c r="A9" s="160">
        <v>43435</v>
      </c>
      <c r="B9">
        <v>2</v>
      </c>
      <c r="C9" s="218" t="s">
        <v>233</v>
      </c>
      <c r="D9" s="161"/>
      <c r="F9" s="1" t="s">
        <v>341</v>
      </c>
      <c r="G9" s="159">
        <v>2</v>
      </c>
      <c r="H9" s="203" t="s">
        <v>349</v>
      </c>
      <c r="O9" s="1"/>
    </row>
    <row r="10" spans="1:27" ht="15" x14ac:dyDescent="0.25">
      <c r="A10" s="160">
        <v>43466</v>
      </c>
      <c r="B10">
        <v>0</v>
      </c>
      <c r="C10" s="218" t="s">
        <v>233</v>
      </c>
      <c r="D10" s="161"/>
      <c r="F10" s="1" t="s">
        <v>342</v>
      </c>
      <c r="G10" s="159">
        <v>1</v>
      </c>
      <c r="H10" s="203" t="s">
        <v>235</v>
      </c>
      <c r="O10" s="1"/>
    </row>
    <row r="11" spans="1:27" ht="15" x14ac:dyDescent="0.25">
      <c r="A11" s="160">
        <v>43497</v>
      </c>
      <c r="B11">
        <v>5</v>
      </c>
      <c r="C11" s="218" t="s">
        <v>233</v>
      </c>
      <c r="D11" s="161"/>
      <c r="F11" s="1" t="s">
        <v>343</v>
      </c>
      <c r="G11" s="159">
        <v>1</v>
      </c>
      <c r="H11" s="203" t="s">
        <v>350</v>
      </c>
      <c r="O11" s="1"/>
    </row>
    <row r="12" spans="1:27" ht="15" x14ac:dyDescent="0.25">
      <c r="A12" s="160">
        <v>43525</v>
      </c>
      <c r="B12">
        <v>2</v>
      </c>
      <c r="C12" s="218" t="s">
        <v>233</v>
      </c>
      <c r="D12" s="161"/>
      <c r="F12" s="1" t="s">
        <v>344</v>
      </c>
      <c r="G12" s="159">
        <v>1</v>
      </c>
      <c r="H12" s="203" t="s">
        <v>329</v>
      </c>
      <c r="O12" s="1"/>
    </row>
    <row r="13" spans="1:27" ht="15" x14ac:dyDescent="0.25">
      <c r="A13" s="160">
        <v>43556</v>
      </c>
      <c r="B13">
        <v>1</v>
      </c>
      <c r="C13" s="218" t="s">
        <v>233</v>
      </c>
      <c r="D13" s="161"/>
      <c r="F13" s="1" t="s">
        <v>321</v>
      </c>
      <c r="G13" s="159">
        <v>1</v>
      </c>
      <c r="H13" s="203" t="s">
        <v>235</v>
      </c>
      <c r="O13" s="1"/>
    </row>
    <row r="14" spans="1:27" ht="15" x14ac:dyDescent="0.25">
      <c r="A14" s="160">
        <v>43586</v>
      </c>
      <c r="B14">
        <v>5</v>
      </c>
      <c r="C14" s="218" t="s">
        <v>233</v>
      </c>
      <c r="D14" s="161"/>
      <c r="F14" s="1" t="s">
        <v>345</v>
      </c>
      <c r="G14" s="159">
        <v>1</v>
      </c>
      <c r="H14" s="203" t="s">
        <v>260</v>
      </c>
      <c r="O14" s="1"/>
    </row>
    <row r="15" spans="1:27" ht="15" x14ac:dyDescent="0.25">
      <c r="A15" s="160">
        <v>43617</v>
      </c>
      <c r="B15">
        <v>6</v>
      </c>
      <c r="C15" s="218" t="s">
        <v>233</v>
      </c>
      <c r="D15" s="161"/>
      <c r="F15" s="1" t="s">
        <v>346</v>
      </c>
      <c r="G15" s="1">
        <v>1</v>
      </c>
      <c r="H15" s="1" t="s">
        <v>235</v>
      </c>
      <c r="O15" s="1"/>
    </row>
    <row r="16" spans="1:27" ht="15" x14ac:dyDescent="0.25">
      <c r="A16" s="160">
        <v>43647</v>
      </c>
      <c r="B16">
        <v>3</v>
      </c>
      <c r="C16" s="218" t="s">
        <v>233</v>
      </c>
      <c r="D16" s="161"/>
      <c r="O16" s="1"/>
    </row>
    <row r="17" spans="1:15" ht="15" x14ac:dyDescent="0.25">
      <c r="A17" s="160">
        <v>43678</v>
      </c>
      <c r="B17">
        <v>4</v>
      </c>
      <c r="C17" s="218" t="s">
        <v>233</v>
      </c>
      <c r="D17" s="161"/>
      <c r="O17" s="1"/>
    </row>
    <row r="18" spans="1:15" ht="15" x14ac:dyDescent="0.25">
      <c r="A18" s="160">
        <v>43709</v>
      </c>
      <c r="B18">
        <v>5</v>
      </c>
      <c r="C18" s="218" t="s">
        <v>233</v>
      </c>
      <c r="D18" s="161"/>
      <c r="I18" s="39"/>
      <c r="O18" s="1"/>
    </row>
    <row r="19" spans="1:15" ht="15" x14ac:dyDescent="0.25">
      <c r="A19" s="160">
        <v>43739</v>
      </c>
      <c r="B19">
        <v>3</v>
      </c>
      <c r="C19" s="218" t="s">
        <v>233</v>
      </c>
      <c r="D19" s="161"/>
      <c r="I19" s="39"/>
      <c r="O19" s="1"/>
    </row>
    <row r="20" spans="1:15" ht="15" x14ac:dyDescent="0.25">
      <c r="A20" s="160">
        <v>43770</v>
      </c>
      <c r="B20">
        <v>0</v>
      </c>
      <c r="C20" s="218" t="s">
        <v>233</v>
      </c>
      <c r="D20" s="161"/>
      <c r="I20" s="39"/>
      <c r="O20" s="1"/>
    </row>
    <row r="21" spans="1:15" ht="15" x14ac:dyDescent="0.25">
      <c r="A21" s="160">
        <v>43800</v>
      </c>
      <c r="B21">
        <v>0</v>
      </c>
      <c r="C21" s="218" t="s">
        <v>233</v>
      </c>
      <c r="D21" s="161"/>
      <c r="I21" s="39"/>
      <c r="O21" s="1"/>
    </row>
    <row r="22" spans="1:15" ht="15" x14ac:dyDescent="0.25">
      <c r="A22" s="160">
        <v>43831</v>
      </c>
      <c r="B22">
        <v>1</v>
      </c>
      <c r="C22" s="218" t="s">
        <v>233</v>
      </c>
      <c r="D22" s="161"/>
      <c r="I22" s="39"/>
      <c r="O22" s="1"/>
    </row>
    <row r="23" spans="1:15" ht="15" x14ac:dyDescent="0.25">
      <c r="A23" s="160">
        <v>43862</v>
      </c>
      <c r="B23">
        <v>2</v>
      </c>
      <c r="C23" s="218" t="s">
        <v>233</v>
      </c>
      <c r="D23" s="161"/>
      <c r="O23" s="1"/>
    </row>
    <row r="24" spans="1:15" ht="15" x14ac:dyDescent="0.25">
      <c r="A24" s="160">
        <v>43891</v>
      </c>
      <c r="B24">
        <v>0</v>
      </c>
      <c r="C24" s="218" t="s">
        <v>233</v>
      </c>
      <c r="D24" s="161"/>
      <c r="O24" s="1"/>
    </row>
    <row r="25" spans="1:15" ht="15" x14ac:dyDescent="0.25">
      <c r="A25" s="160">
        <v>43922</v>
      </c>
      <c r="B25">
        <v>0</v>
      </c>
      <c r="C25" s="218" t="s">
        <v>233</v>
      </c>
      <c r="D25" s="161"/>
      <c r="O25" s="1"/>
    </row>
    <row r="26" spans="1:15" ht="15" x14ac:dyDescent="0.25">
      <c r="A26" s="160">
        <v>43952</v>
      </c>
      <c r="B26">
        <v>4</v>
      </c>
      <c r="C26" s="218" t="s">
        <v>233</v>
      </c>
      <c r="D26" s="161"/>
      <c r="O26" s="1"/>
    </row>
    <row r="27" spans="1:15" ht="15" x14ac:dyDescent="0.25">
      <c r="A27" s="160">
        <v>43983</v>
      </c>
      <c r="B27">
        <v>0</v>
      </c>
      <c r="C27" s="218" t="s">
        <v>233</v>
      </c>
      <c r="D27" s="161"/>
      <c r="O27" s="1"/>
    </row>
    <row r="28" spans="1:15" ht="15" x14ac:dyDescent="0.25">
      <c r="A28" s="160">
        <v>44013</v>
      </c>
      <c r="B28">
        <v>3</v>
      </c>
      <c r="C28" s="218" t="s">
        <v>233</v>
      </c>
      <c r="D28" s="161"/>
      <c r="O28" s="1"/>
    </row>
    <row r="29" spans="1:15" ht="15" x14ac:dyDescent="0.25">
      <c r="A29" s="160">
        <v>44044</v>
      </c>
      <c r="B29">
        <v>7</v>
      </c>
      <c r="C29" s="218" t="s">
        <v>233</v>
      </c>
      <c r="D29" s="161"/>
      <c r="O29" s="1"/>
    </row>
    <row r="30" spans="1:15" ht="15" x14ac:dyDescent="0.25">
      <c r="A30" s="160">
        <v>44075</v>
      </c>
      <c r="B30">
        <v>3</v>
      </c>
      <c r="C30" s="218" t="s">
        <v>233</v>
      </c>
      <c r="D30" s="161"/>
      <c r="O30" s="1"/>
    </row>
    <row r="31" spans="1:15" ht="15" x14ac:dyDescent="0.25">
      <c r="A31" s="160">
        <v>44105</v>
      </c>
      <c r="B31">
        <v>1</v>
      </c>
      <c r="C31" s="218" t="s">
        <v>233</v>
      </c>
      <c r="D31" s="161"/>
      <c r="O31" s="1"/>
    </row>
    <row r="32" spans="1:15" ht="15" x14ac:dyDescent="0.25">
      <c r="A32" s="160">
        <v>44136</v>
      </c>
      <c r="B32">
        <v>2</v>
      </c>
      <c r="C32" s="218" t="s">
        <v>233</v>
      </c>
      <c r="D32" s="161"/>
      <c r="O32" s="1"/>
    </row>
    <row r="33" spans="1:15" ht="15" x14ac:dyDescent="0.25">
      <c r="A33" s="160">
        <v>44166</v>
      </c>
      <c r="B33">
        <v>4</v>
      </c>
      <c r="C33" s="218" t="s">
        <v>233</v>
      </c>
      <c r="D33" s="161"/>
      <c r="O33" s="1"/>
    </row>
    <row r="34" spans="1:15" ht="15" x14ac:dyDescent="0.25">
      <c r="A34" s="160">
        <v>44197</v>
      </c>
      <c r="B34">
        <v>3</v>
      </c>
      <c r="C34" s="218" t="s">
        <v>233</v>
      </c>
      <c r="D34" s="161"/>
      <c r="O34" s="1"/>
    </row>
    <row r="35" spans="1:15" ht="15" x14ac:dyDescent="0.25">
      <c r="A35" s="160">
        <v>44228</v>
      </c>
      <c r="B35">
        <v>2</v>
      </c>
      <c r="C35" s="218" t="s">
        <v>233</v>
      </c>
      <c r="D35" s="161"/>
      <c r="O35" s="1"/>
    </row>
    <row r="36" spans="1:15" ht="15" x14ac:dyDescent="0.25">
      <c r="A36" s="160">
        <v>44256</v>
      </c>
      <c r="B36">
        <v>1</v>
      </c>
      <c r="C36" s="218" t="s">
        <v>233</v>
      </c>
      <c r="D36" s="161"/>
      <c r="O36" s="1"/>
    </row>
    <row r="37" spans="1:15" ht="15" x14ac:dyDescent="0.25">
      <c r="A37" s="160">
        <v>44287</v>
      </c>
      <c r="B37">
        <v>1</v>
      </c>
      <c r="C37" s="218" t="s">
        <v>233</v>
      </c>
      <c r="D37" s="161"/>
      <c r="O37" s="1"/>
    </row>
    <row r="38" spans="1:15" ht="15" x14ac:dyDescent="0.25">
      <c r="A38" s="160">
        <v>44317</v>
      </c>
      <c r="B38">
        <v>1</v>
      </c>
      <c r="C38" s="218" t="s">
        <v>233</v>
      </c>
      <c r="D38" s="161"/>
      <c r="O38" s="1"/>
    </row>
    <row r="39" spans="1:15" ht="15" x14ac:dyDescent="0.25">
      <c r="A39" s="160">
        <v>44348</v>
      </c>
      <c r="B39">
        <v>5</v>
      </c>
      <c r="C39" s="218" t="s">
        <v>233</v>
      </c>
      <c r="D39" s="161"/>
      <c r="O39" s="1"/>
    </row>
    <row r="40" spans="1:15" ht="15" x14ac:dyDescent="0.25">
      <c r="A40" s="160">
        <v>44378</v>
      </c>
      <c r="B40">
        <v>1</v>
      </c>
      <c r="C40" s="218" t="s">
        <v>233</v>
      </c>
      <c r="D40" s="161"/>
      <c r="O40" s="1"/>
    </row>
    <row r="41" spans="1:15" ht="15" x14ac:dyDescent="0.25">
      <c r="A41" s="160">
        <v>44409</v>
      </c>
      <c r="B41">
        <v>1</v>
      </c>
      <c r="C41" s="218" t="s">
        <v>233</v>
      </c>
      <c r="D41" s="161"/>
      <c r="O41" s="1"/>
    </row>
    <row r="42" spans="1:15" ht="15" x14ac:dyDescent="0.25">
      <c r="A42" s="160">
        <v>44440</v>
      </c>
      <c r="B42">
        <v>7</v>
      </c>
      <c r="C42" s="218" t="s">
        <v>233</v>
      </c>
      <c r="D42" s="161"/>
      <c r="O42" s="1"/>
    </row>
    <row r="43" spans="1:15" ht="15" x14ac:dyDescent="0.25">
      <c r="A43" s="160">
        <v>44470</v>
      </c>
      <c r="B43">
        <v>5</v>
      </c>
      <c r="C43" s="218" t="s">
        <v>233</v>
      </c>
      <c r="D43" s="161"/>
      <c r="O43" s="1"/>
    </row>
    <row r="44" spans="1:15" ht="15" x14ac:dyDescent="0.25">
      <c r="A44" s="160">
        <v>44501</v>
      </c>
      <c r="B44">
        <v>1</v>
      </c>
      <c r="C44" s="218" t="s">
        <v>233</v>
      </c>
      <c r="D44" s="161"/>
      <c r="O44" s="1"/>
    </row>
    <row r="45" spans="1:15" ht="15" x14ac:dyDescent="0.25">
      <c r="A45" s="160">
        <v>44531</v>
      </c>
      <c r="B45">
        <v>2</v>
      </c>
      <c r="C45" s="218" t="s">
        <v>233</v>
      </c>
      <c r="D45" s="161"/>
      <c r="O45" s="1"/>
    </row>
    <row r="46" spans="1:15" ht="15" x14ac:dyDescent="0.25">
      <c r="A46" s="160">
        <v>44562</v>
      </c>
      <c r="B46">
        <v>3</v>
      </c>
      <c r="C46" s="218" t="s">
        <v>233</v>
      </c>
      <c r="D46" s="161"/>
      <c r="O46" s="1"/>
    </row>
    <row r="47" spans="1:15" ht="15" x14ac:dyDescent="0.25">
      <c r="A47" s="160">
        <v>44593</v>
      </c>
      <c r="B47">
        <v>4</v>
      </c>
      <c r="C47" s="218" t="s">
        <v>233</v>
      </c>
      <c r="D47" s="161"/>
      <c r="O47" s="1"/>
    </row>
    <row r="48" spans="1:15" ht="15" x14ac:dyDescent="0.25">
      <c r="A48" s="160">
        <v>44621</v>
      </c>
      <c r="B48">
        <v>1</v>
      </c>
      <c r="C48" s="218" t="s">
        <v>233</v>
      </c>
      <c r="D48" s="161"/>
      <c r="O48" s="1"/>
    </row>
    <row r="49" spans="1:15" ht="15" x14ac:dyDescent="0.25">
      <c r="A49" s="160">
        <v>44652</v>
      </c>
      <c r="B49">
        <v>2</v>
      </c>
      <c r="C49" s="218" t="s">
        <v>233</v>
      </c>
      <c r="D49" s="161"/>
      <c r="O49" s="1"/>
    </row>
    <row r="50" spans="1:15" ht="15" x14ac:dyDescent="0.25">
      <c r="A50" s="160">
        <v>44682</v>
      </c>
      <c r="B50">
        <v>1</v>
      </c>
      <c r="C50" s="218" t="s">
        <v>233</v>
      </c>
      <c r="D50" s="161"/>
      <c r="O50" s="1"/>
    </row>
    <row r="51" spans="1:15" ht="15" x14ac:dyDescent="0.25">
      <c r="A51" s="160">
        <v>44713</v>
      </c>
      <c r="B51">
        <v>2</v>
      </c>
      <c r="C51" s="218" t="s">
        <v>233</v>
      </c>
      <c r="D51" s="161"/>
      <c r="O51" s="1"/>
    </row>
    <row r="52" spans="1:15" ht="15" x14ac:dyDescent="0.25">
      <c r="A52" s="160">
        <v>44743</v>
      </c>
      <c r="B52">
        <v>1</v>
      </c>
      <c r="C52" s="218" t="s">
        <v>233</v>
      </c>
      <c r="D52" s="161"/>
      <c r="O52" s="1"/>
    </row>
    <row r="53" spans="1:15" ht="15" x14ac:dyDescent="0.25">
      <c r="A53" s="160">
        <v>44774</v>
      </c>
      <c r="B53">
        <v>1</v>
      </c>
      <c r="C53" s="218" t="s">
        <v>233</v>
      </c>
      <c r="D53" s="161"/>
      <c r="O53" s="1"/>
    </row>
    <row r="54" spans="1:15" ht="15" x14ac:dyDescent="0.25">
      <c r="A54" s="160">
        <v>44805</v>
      </c>
      <c r="B54">
        <v>0</v>
      </c>
      <c r="C54" s="218" t="s">
        <v>233</v>
      </c>
      <c r="D54" s="161"/>
      <c r="O54" s="1"/>
    </row>
    <row r="55" spans="1:15" ht="15" x14ac:dyDescent="0.25">
      <c r="A55" s="160">
        <v>44835</v>
      </c>
      <c r="B55">
        <v>0</v>
      </c>
      <c r="C55" s="218" t="s">
        <v>233</v>
      </c>
      <c r="D55" s="161"/>
      <c r="O55" s="1"/>
    </row>
    <row r="56" spans="1:15" ht="15" x14ac:dyDescent="0.25">
      <c r="A56" s="160">
        <v>44866</v>
      </c>
      <c r="B56">
        <v>2</v>
      </c>
      <c r="C56" s="218" t="s">
        <v>233</v>
      </c>
      <c r="D56" s="161"/>
      <c r="O56" s="1"/>
    </row>
    <row r="57" spans="1:15" ht="15" x14ac:dyDescent="0.25">
      <c r="A57" s="160">
        <v>44896</v>
      </c>
      <c r="B57">
        <v>3</v>
      </c>
      <c r="C57" s="218" t="s">
        <v>233</v>
      </c>
      <c r="D57" s="161"/>
      <c r="O57" s="1"/>
    </row>
    <row r="58" spans="1:15" ht="15" x14ac:dyDescent="0.25">
      <c r="A58" s="160">
        <v>44927</v>
      </c>
      <c r="B58">
        <v>0</v>
      </c>
      <c r="C58" s="218" t="s">
        <v>233</v>
      </c>
      <c r="D58" s="161"/>
      <c r="O58" s="1"/>
    </row>
    <row r="59" spans="1:15" ht="15" x14ac:dyDescent="0.25">
      <c r="A59" s="160">
        <v>44958</v>
      </c>
      <c r="B59">
        <v>2</v>
      </c>
      <c r="C59" s="218" t="s">
        <v>233</v>
      </c>
      <c r="D59" s="161"/>
      <c r="O59" s="1"/>
    </row>
    <row r="60" spans="1:15" ht="15" x14ac:dyDescent="0.25">
      <c r="A60" s="160">
        <v>44986</v>
      </c>
      <c r="B60">
        <v>1</v>
      </c>
      <c r="C60" s="218" t="s">
        <v>233</v>
      </c>
      <c r="D60" s="161"/>
      <c r="O60" s="1"/>
    </row>
    <row r="61" spans="1:15" ht="15" x14ac:dyDescent="0.25">
      <c r="A61" s="160">
        <v>45017</v>
      </c>
      <c r="B61">
        <v>0</v>
      </c>
      <c r="C61" s="218" t="s">
        <v>233</v>
      </c>
      <c r="D61" s="161"/>
      <c r="O61" s="1"/>
    </row>
    <row r="62" spans="1:15" ht="15" x14ac:dyDescent="0.25">
      <c r="A62" s="160">
        <v>45047</v>
      </c>
      <c r="B62">
        <v>2</v>
      </c>
      <c r="C62" s="218" t="s">
        <v>233</v>
      </c>
      <c r="D62" s="161"/>
      <c r="O62" s="1"/>
    </row>
    <row r="63" spans="1:15" ht="15" x14ac:dyDescent="0.25">
      <c r="A63" s="160">
        <v>45078</v>
      </c>
      <c r="B63">
        <v>0</v>
      </c>
      <c r="C63" s="218" t="s">
        <v>233</v>
      </c>
      <c r="D63" s="161"/>
      <c r="O63" s="1"/>
    </row>
    <row r="64" spans="1:15" ht="15" x14ac:dyDescent="0.25">
      <c r="A64" s="160">
        <v>45108</v>
      </c>
      <c r="B64">
        <v>0</v>
      </c>
      <c r="C64" s="218" t="s">
        <v>233</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1"/>
  <sheetViews>
    <sheetView zoomScaleNormal="100" workbookViewId="0">
      <selection activeCell="D24" sqref="D24"/>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2" t="s">
        <v>262</v>
      </c>
      <c r="B1" s="242"/>
      <c r="C1" s="242"/>
      <c r="D1" s="242"/>
      <c r="E1" s="242"/>
      <c r="F1" s="242"/>
      <c r="G1" s="242"/>
      <c r="H1" s="242"/>
      <c r="I1" s="242"/>
      <c r="J1" s="242"/>
      <c r="K1" s="242"/>
      <c r="L1" s="242"/>
      <c r="M1" s="242"/>
      <c r="N1" s="242"/>
      <c r="O1" s="242"/>
      <c r="P1" s="242"/>
      <c r="Q1" s="242"/>
      <c r="R1" s="242"/>
      <c r="S1" s="242"/>
      <c r="T1" s="242"/>
      <c r="U1" s="242"/>
      <c r="V1" s="242"/>
      <c r="W1" s="242"/>
      <c r="X1" s="242"/>
      <c r="Y1" s="242"/>
    </row>
  </sheetData>
  <mergeCells count="1">
    <mergeCell ref="A1:Y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zoomScaleNormal="100" workbookViewId="0">
      <selection activeCell="AG39" sqref="AG39"/>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2" t="s">
        <v>263</v>
      </c>
      <c r="B1" s="242"/>
      <c r="C1" s="242"/>
      <c r="D1" s="242"/>
      <c r="E1" s="242"/>
      <c r="F1" s="242"/>
      <c r="G1" s="242"/>
      <c r="H1" s="242"/>
      <c r="I1" s="242"/>
      <c r="J1" s="242"/>
      <c r="K1" s="242"/>
      <c r="L1" s="242"/>
      <c r="M1" s="242"/>
      <c r="N1" s="242"/>
      <c r="O1" s="242"/>
      <c r="P1" s="242"/>
      <c r="Q1" s="242"/>
      <c r="R1" s="242"/>
    </row>
    <row r="2" spans="1:27" ht="15" thickBot="1" x14ac:dyDescent="0.25">
      <c r="B2" s="38"/>
      <c r="C2" s="38"/>
      <c r="P2" s="1"/>
      <c r="Q2" s="40"/>
    </row>
    <row r="3" spans="1:27" ht="12.75" customHeight="1" thickBot="1" x14ac:dyDescent="0.25">
      <c r="A3" s="326" t="s">
        <v>28</v>
      </c>
      <c r="B3" s="329" t="s">
        <v>29</v>
      </c>
      <c r="C3" s="263"/>
      <c r="D3" s="301" t="s">
        <v>30</v>
      </c>
      <c r="E3" s="302"/>
      <c r="F3" s="212" t="s">
        <v>32</v>
      </c>
      <c r="G3" s="211" t="s">
        <v>32</v>
      </c>
      <c r="H3" s="211" t="s">
        <v>32</v>
      </c>
      <c r="I3" s="279" t="s">
        <v>32</v>
      </c>
      <c r="J3" s="279"/>
      <c r="K3" s="279" t="s">
        <v>33</v>
      </c>
      <c r="L3" s="279"/>
      <c r="M3" s="211" t="s">
        <v>34</v>
      </c>
      <c r="N3" s="211" t="s">
        <v>34</v>
      </c>
      <c r="O3" s="213" t="s">
        <v>34</v>
      </c>
      <c r="P3" s="1"/>
      <c r="Q3" s="40"/>
      <c r="V3" s="310" t="s">
        <v>264</v>
      </c>
      <c r="W3" s="310"/>
      <c r="X3" s="310"/>
      <c r="Y3" s="310"/>
      <c r="Z3" s="310"/>
      <c r="AA3" s="310"/>
    </row>
    <row r="4" spans="1:27" ht="14.45" customHeight="1" thickBot="1" x14ac:dyDescent="0.3">
      <c r="A4" s="327"/>
      <c r="B4" s="264" t="s">
        <v>36</v>
      </c>
      <c r="C4" s="330" t="s">
        <v>37</v>
      </c>
      <c r="D4" s="313" t="s">
        <v>36</v>
      </c>
      <c r="E4" s="315" t="s">
        <v>37</v>
      </c>
      <c r="F4" s="290" t="s">
        <v>38</v>
      </c>
      <c r="G4" s="288" t="s">
        <v>39</v>
      </c>
      <c r="H4" s="288" t="s">
        <v>40</v>
      </c>
      <c r="I4" s="280" t="s">
        <v>127</v>
      </c>
      <c r="J4" s="281"/>
      <c r="K4" s="280" t="s">
        <v>42</v>
      </c>
      <c r="L4" s="281"/>
      <c r="M4" s="292" t="s">
        <v>43</v>
      </c>
      <c r="N4" s="292" t="s">
        <v>44</v>
      </c>
      <c r="O4" s="332" t="s">
        <v>45</v>
      </c>
      <c r="P4" s="1"/>
      <c r="Q4" s="40"/>
      <c r="U4" s="1" t="s">
        <v>128</v>
      </c>
      <c r="V4" s="44" t="s">
        <v>129</v>
      </c>
      <c r="W4" s="44" t="s">
        <v>47</v>
      </c>
      <c r="X4" s="44" t="s">
        <v>49</v>
      </c>
      <c r="Y4" s="44" t="s">
        <v>130</v>
      </c>
      <c r="Z4" s="44" t="s">
        <v>131</v>
      </c>
      <c r="AA4" s="44" t="s">
        <v>132</v>
      </c>
    </row>
    <row r="5" spans="1:27" ht="36.75" thickBot="1" x14ac:dyDescent="0.25">
      <c r="A5" s="328"/>
      <c r="B5" s="309"/>
      <c r="C5" s="331"/>
      <c r="D5" s="314"/>
      <c r="E5" s="316"/>
      <c r="F5" s="291"/>
      <c r="G5" s="289"/>
      <c r="H5" s="289"/>
      <c r="I5" s="45" t="s">
        <v>47</v>
      </c>
      <c r="J5" s="45" t="s">
        <v>48</v>
      </c>
      <c r="K5" s="45" t="s">
        <v>49</v>
      </c>
      <c r="L5" s="45" t="s">
        <v>50</v>
      </c>
      <c r="M5" s="293"/>
      <c r="N5" s="293"/>
      <c r="O5" s="333"/>
      <c r="P5" s="1"/>
      <c r="Q5" s="40"/>
      <c r="U5" s="1">
        <v>0</v>
      </c>
      <c r="V5" s="46">
        <f>H6</f>
        <v>14.001563900156253</v>
      </c>
      <c r="W5" s="46">
        <f>I6</f>
        <v>15.401718750000002</v>
      </c>
      <c r="X5" s="46">
        <f>K6</f>
        <v>16.941890625000003</v>
      </c>
      <c r="Y5" s="46">
        <f>M6</f>
        <v>18.636079687500004</v>
      </c>
      <c r="Z5" s="46">
        <f>N6</f>
        <v>20.499687656250007</v>
      </c>
      <c r="AA5" s="46">
        <f>O6</f>
        <v>22.54965642187501</v>
      </c>
    </row>
    <row r="6" spans="1:27" x14ac:dyDescent="0.2">
      <c r="A6" s="111" t="s">
        <v>54</v>
      </c>
      <c r="B6" s="112">
        <f>'1A'!B13</f>
        <v>12.88</v>
      </c>
      <c r="C6" s="113">
        <f>'1A'!C13</f>
        <v>26790.400000000001</v>
      </c>
      <c r="D6" s="59">
        <f>'1A'!D13</f>
        <v>15.401718750000002</v>
      </c>
      <c r="E6" s="114">
        <f>'1A'!E13</f>
        <v>32035.575000000008</v>
      </c>
      <c r="F6" s="59">
        <f>'1A'!F13</f>
        <v>14.001563900156253</v>
      </c>
      <c r="G6" s="59">
        <f>'1A'!G13</f>
        <v>14.001563900156253</v>
      </c>
      <c r="H6" s="59">
        <f>'1A'!H13</f>
        <v>14.001563900156253</v>
      </c>
      <c r="I6" s="60">
        <f>'1A'!I13</f>
        <v>15.401718750000002</v>
      </c>
      <c r="J6" s="116">
        <f>'1A'!J13</f>
        <v>16.171804687500003</v>
      </c>
      <c r="K6" s="60">
        <f>'1A'!K13</f>
        <v>16.941890625000003</v>
      </c>
      <c r="L6" s="60">
        <f>'1A'!L13</f>
        <v>17.788985156250003</v>
      </c>
      <c r="M6" s="60">
        <f>'1A'!M13</f>
        <v>18.636079687500004</v>
      </c>
      <c r="N6" s="60">
        <f>'1A'!N13</f>
        <v>20.499687656250007</v>
      </c>
      <c r="O6" s="162">
        <f>'1A'!O13</f>
        <v>22.54965642187501</v>
      </c>
      <c r="P6" s="1"/>
      <c r="U6" s="1">
        <v>1</v>
      </c>
      <c r="V6" s="46">
        <f t="shared" ref="V6:V25" si="0">V5*1.025</f>
        <v>14.351602997660157</v>
      </c>
      <c r="W6" s="46">
        <f t="shared" ref="W6:W25" si="1">W5*1.025</f>
        <v>15.78676171875</v>
      </c>
      <c r="X6" s="46">
        <f t="shared" ref="X6:X25" si="2">X5*1.025</f>
        <v>17.365437890625003</v>
      </c>
      <c r="Y6" s="46">
        <f t="shared" ref="Y6:Y25" si="3">Y5*1.025</f>
        <v>19.101981679687501</v>
      </c>
      <c r="Z6" s="46">
        <f t="shared" ref="Z6:Z25" si="4">Z5*1.025</f>
        <v>21.012179847656256</v>
      </c>
      <c r="AA6" s="46">
        <f t="shared" ref="AA6:AA25" si="5">AA5*1.025</f>
        <v>23.113397832421885</v>
      </c>
    </row>
    <row r="7" spans="1:27" x14ac:dyDescent="0.2">
      <c r="A7" s="285" t="s">
        <v>133</v>
      </c>
      <c r="B7" s="286"/>
      <c r="C7" s="286"/>
      <c r="D7" s="286"/>
      <c r="E7" s="286"/>
      <c r="F7" s="286"/>
      <c r="G7" s="286"/>
      <c r="H7" s="287"/>
      <c r="I7" s="55">
        <f>I6-H6</f>
        <v>1.4001548498437497</v>
      </c>
      <c r="J7" s="55">
        <f t="shared" ref="J7:O7" si="6">J6-I6</f>
        <v>0.77008593750000109</v>
      </c>
      <c r="K7" s="55">
        <f t="shared" si="6"/>
        <v>0.77008593749999932</v>
      </c>
      <c r="L7" s="55">
        <f>L6-K6</f>
        <v>0.84709453125000067</v>
      </c>
      <c r="M7" s="55">
        <f t="shared" si="6"/>
        <v>0.84709453125000067</v>
      </c>
      <c r="N7" s="55">
        <f t="shared" si="6"/>
        <v>1.8636079687500029</v>
      </c>
      <c r="O7" s="55">
        <f t="shared" si="6"/>
        <v>2.0499687656250032</v>
      </c>
      <c r="P7" s="1"/>
      <c r="U7" s="1">
        <v>2</v>
      </c>
      <c r="V7" s="46">
        <f t="shared" si="0"/>
        <v>14.71039307260166</v>
      </c>
      <c r="W7" s="46">
        <f t="shared" si="1"/>
        <v>16.181430761718747</v>
      </c>
      <c r="X7" s="46">
        <f t="shared" si="2"/>
        <v>17.799573837890627</v>
      </c>
      <c r="Y7" s="46">
        <f t="shared" si="3"/>
        <v>19.579531221679687</v>
      </c>
      <c r="Z7" s="46">
        <f t="shared" si="4"/>
        <v>21.537484343847659</v>
      </c>
      <c r="AA7" s="46">
        <f t="shared" si="5"/>
        <v>23.691232778232429</v>
      </c>
    </row>
    <row r="8" spans="1:27" x14ac:dyDescent="0.2">
      <c r="A8" s="56" t="s">
        <v>63</v>
      </c>
      <c r="B8" s="59">
        <f>'1A'!B21</f>
        <v>12.88</v>
      </c>
      <c r="C8" s="114">
        <f>'1A'!C21</f>
        <v>26790.400000000001</v>
      </c>
      <c r="D8" s="59">
        <f>'1A'!D21</f>
        <v>14.001562500000002</v>
      </c>
      <c r="E8" s="114">
        <f>'1A'!E21</f>
        <v>29123.250000000007</v>
      </c>
      <c r="F8" s="59">
        <f>'1A'!F21</f>
        <v>12.728694454687501</v>
      </c>
      <c r="G8" s="60">
        <f>'1A'!G21</f>
        <v>12.728694454687501</v>
      </c>
      <c r="H8" s="60">
        <f>'1A'!H21</f>
        <v>12.728694454687501</v>
      </c>
      <c r="I8" s="61">
        <f>'1A'!I21</f>
        <v>14.001562500000002</v>
      </c>
      <c r="J8" s="61">
        <f>'1A'!J21</f>
        <v>14.701640625000003</v>
      </c>
      <c r="K8" s="61">
        <f>'1A'!K21</f>
        <v>15.401718750000004</v>
      </c>
      <c r="L8" s="61">
        <f>'1A'!L21</f>
        <v>16.171804687500003</v>
      </c>
      <c r="M8" s="61">
        <f>'1A'!M21</f>
        <v>16.941890625000006</v>
      </c>
      <c r="N8" s="61">
        <f>'1A'!N21</f>
        <v>18.636079687500008</v>
      </c>
      <c r="O8" s="62">
        <f>'1A'!O21</f>
        <v>20.499687656250011</v>
      </c>
      <c r="P8" s="1"/>
      <c r="U8" s="1">
        <v>3</v>
      </c>
      <c r="V8" s="46">
        <f t="shared" si="0"/>
        <v>15.0781528994167</v>
      </c>
      <c r="W8" s="46">
        <f t="shared" si="1"/>
        <v>16.585966530761716</v>
      </c>
      <c r="X8" s="46">
        <f t="shared" si="2"/>
        <v>18.24456318383789</v>
      </c>
      <c r="Y8" s="46">
        <f t="shared" si="3"/>
        <v>20.069019502221678</v>
      </c>
      <c r="Z8" s="46">
        <f t="shared" si="4"/>
        <v>22.075921452443847</v>
      </c>
      <c r="AA8" s="46">
        <f t="shared" si="5"/>
        <v>24.283513597688238</v>
      </c>
    </row>
    <row r="9" spans="1:27" x14ac:dyDescent="0.2">
      <c r="A9" s="285" t="s">
        <v>133</v>
      </c>
      <c r="B9" s="286"/>
      <c r="C9" s="286"/>
      <c r="D9" s="286"/>
      <c r="E9" s="286"/>
      <c r="F9" s="286"/>
      <c r="G9" s="286"/>
      <c r="H9" s="287"/>
      <c r="I9" s="55">
        <f>I8-H8</f>
        <v>1.2728680453125012</v>
      </c>
      <c r="J9" s="55">
        <f t="shared" ref="J9:O9" si="7">J8-I8</f>
        <v>0.70007812500000099</v>
      </c>
      <c r="K9" s="55">
        <f t="shared" si="7"/>
        <v>0.70007812500000099</v>
      </c>
      <c r="L9" s="55">
        <f t="shared" si="7"/>
        <v>0.77008593749999932</v>
      </c>
      <c r="M9" s="55">
        <f t="shared" si="7"/>
        <v>0.77008593750000287</v>
      </c>
      <c r="N9" s="55">
        <f t="shared" si="7"/>
        <v>1.6941890625000013</v>
      </c>
      <c r="O9" s="55">
        <f t="shared" si="7"/>
        <v>1.8636079687500029</v>
      </c>
      <c r="P9" s="1"/>
      <c r="U9" s="1">
        <v>4</v>
      </c>
      <c r="V9" s="46">
        <f t="shared" si="0"/>
        <v>15.455106721902117</v>
      </c>
      <c r="W9" s="46">
        <f t="shared" si="1"/>
        <v>17.000615694030756</v>
      </c>
      <c r="X9" s="46">
        <f t="shared" si="2"/>
        <v>18.700677263433835</v>
      </c>
      <c r="Y9" s="46">
        <f t="shared" si="3"/>
        <v>20.570744989777218</v>
      </c>
      <c r="Z9" s="46">
        <f t="shared" si="4"/>
        <v>22.627819488754941</v>
      </c>
      <c r="AA9" s="46">
        <f t="shared" si="5"/>
        <v>24.890601437630441</v>
      </c>
    </row>
    <row r="10" spans="1:27" x14ac:dyDescent="0.2">
      <c r="P10" s="1"/>
      <c r="Q10" s="40"/>
      <c r="U10" s="1">
        <v>5</v>
      </c>
      <c r="V10" s="46">
        <f t="shared" si="0"/>
        <v>15.841484389949668</v>
      </c>
      <c r="W10" s="46">
        <f t="shared" si="1"/>
        <v>17.425631086381525</v>
      </c>
      <c r="X10" s="46">
        <f t="shared" si="2"/>
        <v>19.16819419501968</v>
      </c>
      <c r="Y10" s="46">
        <f t="shared" si="3"/>
        <v>21.085013614521646</v>
      </c>
      <c r="Z10" s="46">
        <f t="shared" si="4"/>
        <v>23.193514975973812</v>
      </c>
      <c r="AA10" s="46">
        <f t="shared" si="5"/>
        <v>25.512866473571201</v>
      </c>
    </row>
    <row r="11" spans="1:27" x14ac:dyDescent="0.2">
      <c r="U11" s="1">
        <v>6</v>
      </c>
      <c r="V11" s="46">
        <f t="shared" si="0"/>
        <v>16.23752149969841</v>
      </c>
      <c r="W11" s="46">
        <f t="shared" si="1"/>
        <v>17.861271863541063</v>
      </c>
      <c r="X11" s="46">
        <f t="shared" si="2"/>
        <v>19.647399049895171</v>
      </c>
      <c r="Y11" s="46">
        <f t="shared" si="3"/>
        <v>21.612138954884685</v>
      </c>
      <c r="Z11" s="46">
        <f t="shared" si="4"/>
        <v>23.773352850373154</v>
      </c>
      <c r="AA11" s="46">
        <f t="shared" si="5"/>
        <v>26.15068813541048</v>
      </c>
    </row>
    <row r="12" spans="1:27" x14ac:dyDescent="0.2">
      <c r="U12" s="1">
        <v>7</v>
      </c>
      <c r="V12" s="46">
        <f t="shared" si="0"/>
        <v>16.643459537190868</v>
      </c>
      <c r="W12" s="46">
        <f t="shared" si="1"/>
        <v>18.307803660129586</v>
      </c>
      <c r="X12" s="46">
        <f t="shared" si="2"/>
        <v>20.138584026142549</v>
      </c>
      <c r="Y12" s="46">
        <f t="shared" si="3"/>
        <v>22.1524424287568</v>
      </c>
      <c r="Z12" s="46">
        <f t="shared" si="4"/>
        <v>24.36768667163248</v>
      </c>
      <c r="AA12" s="46">
        <f t="shared" si="5"/>
        <v>26.804455338795741</v>
      </c>
    </row>
    <row r="13" spans="1:27" x14ac:dyDescent="0.2">
      <c r="U13" s="1">
        <v>8</v>
      </c>
      <c r="V13" s="46">
        <f t="shared" si="0"/>
        <v>17.059546025620637</v>
      </c>
      <c r="W13" s="46">
        <f t="shared" si="1"/>
        <v>18.765498751632823</v>
      </c>
      <c r="X13" s="46">
        <f t="shared" si="2"/>
        <v>20.642048626796111</v>
      </c>
      <c r="Y13" s="46">
        <f t="shared" si="3"/>
        <v>22.706253489475717</v>
      </c>
      <c r="Z13" s="46">
        <f t="shared" si="4"/>
        <v>24.976878838423289</v>
      </c>
      <c r="AA13" s="46">
        <f t="shared" si="5"/>
        <v>27.474566722265632</v>
      </c>
    </row>
    <row r="14" spans="1:27" ht="16.5" thickBot="1" x14ac:dyDescent="0.3">
      <c r="A14" s="28" t="s">
        <v>265</v>
      </c>
      <c r="B14" s="28"/>
      <c r="C14" s="28"/>
      <c r="D14" s="28"/>
      <c r="E14" s="28"/>
      <c r="F14" s="28"/>
      <c r="G14" s="28"/>
      <c r="H14" s="28"/>
      <c r="I14" s="28"/>
      <c r="J14" s="28"/>
      <c r="K14" s="28"/>
      <c r="L14" s="28"/>
      <c r="M14" s="28"/>
      <c r="N14" s="28"/>
      <c r="O14" s="28"/>
      <c r="P14" s="28"/>
      <c r="Q14" s="28"/>
      <c r="R14" s="28"/>
      <c r="S14" s="28"/>
      <c r="T14" s="28"/>
      <c r="U14" s="1">
        <v>9</v>
      </c>
      <c r="V14" s="46">
        <f t="shared" si="0"/>
        <v>17.486034676261152</v>
      </c>
      <c r="W14" s="46">
        <f t="shared" si="1"/>
        <v>19.234636220423642</v>
      </c>
      <c r="X14" s="46">
        <f t="shared" si="2"/>
        <v>21.158099842466012</v>
      </c>
      <c r="Y14" s="46">
        <f t="shared" si="3"/>
        <v>23.273909826712607</v>
      </c>
      <c r="Z14" s="46">
        <f t="shared" si="4"/>
        <v>25.601300809383869</v>
      </c>
      <c r="AA14" s="46">
        <f t="shared" si="5"/>
        <v>28.161430890322269</v>
      </c>
    </row>
    <row r="15" spans="1:27" ht="15.75" thickBot="1" x14ac:dyDescent="0.3">
      <c r="A15" s="298" t="s">
        <v>135</v>
      </c>
      <c r="B15" s="303" t="s">
        <v>32</v>
      </c>
      <c r="C15" s="282"/>
      <c r="D15" s="282"/>
      <c r="E15" s="282" t="s">
        <v>32</v>
      </c>
      <c r="F15" s="282"/>
      <c r="G15" s="282"/>
      <c r="H15" s="282" t="s">
        <v>33</v>
      </c>
      <c r="I15" s="282"/>
      <c r="J15" s="282"/>
      <c r="K15" s="282" t="s">
        <v>34</v>
      </c>
      <c r="L15" s="282"/>
      <c r="M15" s="282"/>
      <c r="N15" s="282" t="s">
        <v>34</v>
      </c>
      <c r="O15" s="282"/>
      <c r="P15" s="297"/>
      <c r="Q15" s="282" t="s">
        <v>34</v>
      </c>
      <c r="R15" s="282"/>
      <c r="S15" s="297"/>
      <c r="T15" s="63"/>
      <c r="U15" s="1">
        <v>10</v>
      </c>
      <c r="V15" s="46">
        <f t="shared" si="0"/>
        <v>17.92318554316768</v>
      </c>
      <c r="W15" s="46">
        <f t="shared" si="1"/>
        <v>19.715502125934233</v>
      </c>
      <c r="X15" s="46">
        <f t="shared" si="2"/>
        <v>21.687052338527661</v>
      </c>
      <c r="Y15" s="46">
        <f t="shared" si="3"/>
        <v>23.855757572380419</v>
      </c>
      <c r="Z15" s="46">
        <f t="shared" si="4"/>
        <v>26.241333329618463</v>
      </c>
      <c r="AA15" s="46">
        <f t="shared" si="5"/>
        <v>28.865466662580324</v>
      </c>
    </row>
    <row r="16" spans="1:27" ht="15" x14ac:dyDescent="0.2">
      <c r="A16" s="299"/>
      <c r="B16" s="304" t="s">
        <v>136</v>
      </c>
      <c r="C16" s="305"/>
      <c r="D16" s="305"/>
      <c r="E16" s="276" t="s">
        <v>127</v>
      </c>
      <c r="F16" s="277"/>
      <c r="G16" s="278"/>
      <c r="H16" s="276" t="s">
        <v>42</v>
      </c>
      <c r="I16" s="277"/>
      <c r="J16" s="278"/>
      <c r="K16" s="294" t="s">
        <v>137</v>
      </c>
      <c r="L16" s="295"/>
      <c r="M16" s="296"/>
      <c r="N16" s="294" t="s">
        <v>44</v>
      </c>
      <c r="O16" s="295"/>
      <c r="P16" s="296"/>
      <c r="Q16" s="294" t="s">
        <v>138</v>
      </c>
      <c r="R16" s="295"/>
      <c r="S16" s="296"/>
      <c r="T16" s="64"/>
      <c r="U16" s="1">
        <v>11</v>
      </c>
      <c r="V16" s="46">
        <f t="shared" si="0"/>
        <v>18.371265181746871</v>
      </c>
      <c r="W16" s="46">
        <f t="shared" si="1"/>
        <v>20.208389679082586</v>
      </c>
      <c r="X16" s="46">
        <f t="shared" si="2"/>
        <v>22.229228646990851</v>
      </c>
      <c r="Y16" s="46">
        <f t="shared" si="3"/>
        <v>24.452151511689927</v>
      </c>
      <c r="Z16" s="46">
        <f t="shared" si="4"/>
        <v>26.897366662858921</v>
      </c>
      <c r="AA16" s="46">
        <f t="shared" si="5"/>
        <v>29.587103329144831</v>
      </c>
    </row>
    <row r="17" spans="1:27" ht="15" thickBot="1" x14ac:dyDescent="0.25">
      <c r="A17" s="300"/>
      <c r="B17" s="65" t="s">
        <v>139</v>
      </c>
      <c r="C17" s="66" t="s">
        <v>140</v>
      </c>
      <c r="D17" s="66" t="s">
        <v>141</v>
      </c>
      <c r="E17" s="67" t="s">
        <v>139</v>
      </c>
      <c r="F17" s="68" t="s">
        <v>140</v>
      </c>
      <c r="G17" s="69" t="s">
        <v>141</v>
      </c>
      <c r="H17" s="66" t="s">
        <v>139</v>
      </c>
      <c r="I17" s="66" t="s">
        <v>140</v>
      </c>
      <c r="J17" s="70" t="s">
        <v>141</v>
      </c>
      <c r="K17" s="65" t="s">
        <v>139</v>
      </c>
      <c r="L17" s="66" t="s">
        <v>140</v>
      </c>
      <c r="M17" s="70" t="s">
        <v>141</v>
      </c>
      <c r="N17" s="65" t="s">
        <v>139</v>
      </c>
      <c r="O17" s="66" t="s">
        <v>140</v>
      </c>
      <c r="P17" s="70" t="s">
        <v>141</v>
      </c>
      <c r="Q17" s="65" t="s">
        <v>139</v>
      </c>
      <c r="R17" s="66" t="s">
        <v>140</v>
      </c>
      <c r="S17" s="70" t="s">
        <v>141</v>
      </c>
      <c r="T17" s="71"/>
      <c r="U17" s="1">
        <v>12</v>
      </c>
      <c r="V17" s="46">
        <f t="shared" si="0"/>
        <v>18.830546811290542</v>
      </c>
      <c r="W17" s="46">
        <f t="shared" si="1"/>
        <v>20.713599421059648</v>
      </c>
      <c r="X17" s="46">
        <f t="shared" si="2"/>
        <v>22.784959363165619</v>
      </c>
      <c r="Y17" s="46">
        <f t="shared" si="3"/>
        <v>25.063455299482172</v>
      </c>
      <c r="Z17" s="46">
        <f t="shared" si="4"/>
        <v>27.569800829430392</v>
      </c>
      <c r="AA17" s="46">
        <f t="shared" si="5"/>
        <v>30.326780912373451</v>
      </c>
    </row>
    <row r="18" spans="1:27" x14ac:dyDescent="0.2">
      <c r="A18" s="72" t="s">
        <v>142</v>
      </c>
      <c r="B18" s="73">
        <f>H6</f>
        <v>14.001563900156253</v>
      </c>
      <c r="C18" s="73">
        <f>MEDIAN(B18,D18)</f>
        <v>14.539858399786478</v>
      </c>
      <c r="D18" s="73">
        <f>B18*((1.025)^3)</f>
        <v>15.078152899416702</v>
      </c>
      <c r="E18" s="74">
        <f>I6</f>
        <v>15.401718750000002</v>
      </c>
      <c r="F18" s="73">
        <f>MEDIAN(E18,G18)</f>
        <v>15.993842640380862</v>
      </c>
      <c r="G18" s="75">
        <f>E18*((1.025)^3)</f>
        <v>16.58596653076172</v>
      </c>
      <c r="H18" s="73">
        <f>K6</f>
        <v>16.941890625000003</v>
      </c>
      <c r="I18" s="73">
        <f>MEDIAN(H18,J18)</f>
        <v>17.593226904418948</v>
      </c>
      <c r="J18" s="75">
        <f>H18*((1.025)^3)</f>
        <v>18.24456318383789</v>
      </c>
      <c r="K18" s="74">
        <f>M6</f>
        <v>18.636079687500004</v>
      </c>
      <c r="L18" s="73">
        <f>MEDIAN(K18,M18)</f>
        <v>19.352549594860843</v>
      </c>
      <c r="M18" s="75">
        <f>K18*((1.025)^3)</f>
        <v>20.069019502221682</v>
      </c>
      <c r="N18" s="74">
        <f>N6</f>
        <v>20.499687656250007</v>
      </c>
      <c r="O18" s="73">
        <f>MEDIAN(N18,P18)</f>
        <v>21.287804554346931</v>
      </c>
      <c r="P18" s="75">
        <f>N18*((1.025)^3)</f>
        <v>22.075921452443854</v>
      </c>
      <c r="Q18" s="74">
        <f>O6</f>
        <v>22.54965642187501</v>
      </c>
      <c r="R18" s="73">
        <f>MEDIAN(Q18,S18)</f>
        <v>23.416585009781627</v>
      </c>
      <c r="S18" s="75">
        <f>Q18*((1.025)^3)</f>
        <v>24.283513597688241</v>
      </c>
      <c r="T18" s="73"/>
      <c r="U18" s="1">
        <v>13</v>
      </c>
      <c r="V18" s="46">
        <f t="shared" si="0"/>
        <v>19.301310481572806</v>
      </c>
      <c r="W18" s="46">
        <f t="shared" si="1"/>
        <v>21.231439406586137</v>
      </c>
      <c r="X18" s="46">
        <f t="shared" si="2"/>
        <v>23.354583347244759</v>
      </c>
      <c r="Y18" s="46">
        <f t="shared" si="3"/>
        <v>25.690041681969223</v>
      </c>
      <c r="Z18" s="46">
        <f t="shared" si="4"/>
        <v>28.259045850166149</v>
      </c>
      <c r="AA18" s="46">
        <f t="shared" si="5"/>
        <v>31.084950435182783</v>
      </c>
    </row>
    <row r="19" spans="1:27" x14ac:dyDescent="0.2">
      <c r="A19" s="76" t="s">
        <v>143</v>
      </c>
      <c r="B19" s="73">
        <f>B18*((1.025)^4)</f>
        <v>15.455106721902119</v>
      </c>
      <c r="C19" s="73">
        <f t="shared" ref="C19:C23" si="8">MEDIAN(B19,D19)</f>
        <v>15.846314110800265</v>
      </c>
      <c r="D19" s="73">
        <f>B18*((1.025)^6)</f>
        <v>16.23752149969841</v>
      </c>
      <c r="E19" s="74">
        <f>E18*((1.025)^4)</f>
        <v>17.00061569403076</v>
      </c>
      <c r="F19" s="73">
        <f t="shared" ref="F19:F23" si="9">MEDIAN(E19,G19)</f>
        <v>17.430943778785913</v>
      </c>
      <c r="G19" s="75">
        <f>E18*((1.025)^6)</f>
        <v>17.861271863541067</v>
      </c>
      <c r="H19" s="73">
        <f>H18*((1.025)^4)</f>
        <v>18.700677263433835</v>
      </c>
      <c r="I19" s="73">
        <f t="shared" ref="I19:I23" si="10">MEDIAN(H19,J19)</f>
        <v>19.174038156664501</v>
      </c>
      <c r="J19" s="75">
        <f>H18*((1.025)^6)</f>
        <v>19.647399049895171</v>
      </c>
      <c r="K19" s="74">
        <f>K18*((1.025)^4)</f>
        <v>20.570744989777221</v>
      </c>
      <c r="L19" s="73">
        <f t="shared" ref="L19:L23" si="11">MEDIAN(K19,M19)</f>
        <v>21.091441972330955</v>
      </c>
      <c r="M19" s="75">
        <f>K18*((1.025)^6)</f>
        <v>21.612138954884689</v>
      </c>
      <c r="N19" s="74">
        <f>N18*((1.025)^4)</f>
        <v>22.627819488754948</v>
      </c>
      <c r="O19" s="73">
        <f t="shared" ref="O19:O23" si="12">MEDIAN(N19,P19)</f>
        <v>23.200586169564055</v>
      </c>
      <c r="P19" s="75">
        <f>N18*((1.025)^6)</f>
        <v>23.773352850373161</v>
      </c>
      <c r="Q19" s="74">
        <f>Q18*((1.025)^4)</f>
        <v>24.890601437630444</v>
      </c>
      <c r="R19" s="73">
        <f t="shared" ref="R19:R23" si="13">MEDIAN(Q19,S19)</f>
        <v>25.520644786520464</v>
      </c>
      <c r="S19" s="75">
        <f>Q18*((1.025)^6)</f>
        <v>26.15068813541048</v>
      </c>
      <c r="T19" s="73"/>
      <c r="U19" s="1">
        <v>14</v>
      </c>
      <c r="V19" s="46">
        <f t="shared" si="0"/>
        <v>19.783843243612125</v>
      </c>
      <c r="W19" s="46">
        <f t="shared" si="1"/>
        <v>21.762225391750789</v>
      </c>
      <c r="X19" s="46">
        <f t="shared" si="2"/>
        <v>23.938447930925875</v>
      </c>
      <c r="Y19" s="46">
        <f t="shared" si="3"/>
        <v>26.332292724018451</v>
      </c>
      <c r="Z19" s="46">
        <f t="shared" si="4"/>
        <v>28.9655219964203</v>
      </c>
      <c r="AA19" s="46">
        <f t="shared" si="5"/>
        <v>31.862074196062348</v>
      </c>
    </row>
    <row r="20" spans="1:27" x14ac:dyDescent="0.2">
      <c r="A20" s="76" t="s">
        <v>144</v>
      </c>
      <c r="B20" s="73">
        <f>B18*((1.025)^7)</f>
        <v>16.643459537190871</v>
      </c>
      <c r="C20" s="73">
        <f t="shared" si="8"/>
        <v>17.064747106726013</v>
      </c>
      <c r="D20" s="73">
        <f>B18*((1.025)^9)</f>
        <v>17.486034676261156</v>
      </c>
      <c r="E20" s="74">
        <f>E18*((1.025)^7)</f>
        <v>18.307803660129593</v>
      </c>
      <c r="F20" s="73">
        <f t="shared" si="9"/>
        <v>18.771219940276623</v>
      </c>
      <c r="G20" s="75">
        <f>E18*((1.025)^9)</f>
        <v>19.234636220423649</v>
      </c>
      <c r="H20" s="73">
        <f>H18*((1.025)^7)</f>
        <v>20.138584026142553</v>
      </c>
      <c r="I20" s="73">
        <f t="shared" si="10"/>
        <v>20.648341934304284</v>
      </c>
      <c r="J20" s="75">
        <f>H18*((1.025)^9)</f>
        <v>21.158099842466012</v>
      </c>
      <c r="K20" s="74">
        <f>K18*((1.025)^7)</f>
        <v>22.152442428756807</v>
      </c>
      <c r="L20" s="73">
        <f t="shared" si="11"/>
        <v>22.713176127734712</v>
      </c>
      <c r="M20" s="75">
        <f>K18*((1.025)^9)</f>
        <v>23.273909826712615</v>
      </c>
      <c r="N20" s="74">
        <f>N18*((1.025)^7)</f>
        <v>24.367686671632491</v>
      </c>
      <c r="O20" s="73">
        <f t="shared" si="12"/>
        <v>24.984493740508185</v>
      </c>
      <c r="P20" s="75">
        <f>N18*((1.025)^9)</f>
        <v>25.601300809383879</v>
      </c>
      <c r="Q20" s="74">
        <f>Q18*((1.025)^7)</f>
        <v>26.804455338795744</v>
      </c>
      <c r="R20" s="73">
        <f t="shared" si="13"/>
        <v>27.482943114559006</v>
      </c>
      <c r="S20" s="75">
        <f>Q18*((1.025)^9)</f>
        <v>28.161430890322272</v>
      </c>
      <c r="T20" s="73"/>
      <c r="U20" s="1">
        <v>15</v>
      </c>
      <c r="V20" s="46">
        <f t="shared" si="0"/>
        <v>20.278439324702425</v>
      </c>
      <c r="W20" s="46">
        <f t="shared" si="1"/>
        <v>22.306281026544557</v>
      </c>
      <c r="X20" s="46">
        <f t="shared" si="2"/>
        <v>24.536909129199021</v>
      </c>
      <c r="Y20" s="46">
        <f t="shared" si="3"/>
        <v>26.99060004211891</v>
      </c>
      <c r="Z20" s="46">
        <f t="shared" si="4"/>
        <v>29.689660046330804</v>
      </c>
      <c r="AA20" s="46">
        <f t="shared" si="5"/>
        <v>32.658626050963903</v>
      </c>
    </row>
    <row r="21" spans="1:27" x14ac:dyDescent="0.2">
      <c r="A21" s="76" t="s">
        <v>145</v>
      </c>
      <c r="B21" s="73">
        <f>B18*((1.025)^10)</f>
        <v>17.923185543167683</v>
      </c>
      <c r="C21" s="73">
        <f t="shared" si="8"/>
        <v>18.376866177229115</v>
      </c>
      <c r="D21" s="73">
        <f>B18*((1.025)^12)</f>
        <v>18.830546811290546</v>
      </c>
      <c r="E21" s="74">
        <f>E18*((1.025)^10)</f>
        <v>19.71550212593424</v>
      </c>
      <c r="F21" s="73">
        <f t="shared" si="9"/>
        <v>20.214550773496949</v>
      </c>
      <c r="G21" s="75">
        <f>E18*((1.025)^12)</f>
        <v>20.713599421059659</v>
      </c>
      <c r="H21" s="73">
        <f>H18*((1.025)^10)</f>
        <v>21.687052338527664</v>
      </c>
      <c r="I21" s="73">
        <f t="shared" si="10"/>
        <v>22.236005850846645</v>
      </c>
      <c r="J21" s="75">
        <f>H18*((1.025)^12)</f>
        <v>22.784959363165623</v>
      </c>
      <c r="K21" s="74">
        <f>K18*((1.025)^10)</f>
        <v>23.85575757238043</v>
      </c>
      <c r="L21" s="73">
        <f t="shared" si="11"/>
        <v>24.45960643593131</v>
      </c>
      <c r="M21" s="75">
        <f>K18*((1.025)^12)</f>
        <v>25.06345529948219</v>
      </c>
      <c r="N21" s="74">
        <f>N18*((1.025)^10)</f>
        <v>26.241333329618477</v>
      </c>
      <c r="O21" s="73">
        <f t="shared" si="12"/>
        <v>26.905567079524445</v>
      </c>
      <c r="P21" s="75">
        <f>N18*((1.025)^12)</f>
        <v>27.56980082943041</v>
      </c>
      <c r="Q21" s="74">
        <f>Q18*((1.025)^10)</f>
        <v>28.865466662580328</v>
      </c>
      <c r="R21" s="73">
        <f t="shared" si="13"/>
        <v>29.596123787476891</v>
      </c>
      <c r="S21" s="75">
        <f>Q18*((1.025)^12)</f>
        <v>30.326780912373454</v>
      </c>
      <c r="T21" s="73"/>
      <c r="U21" s="1">
        <v>16</v>
      </c>
      <c r="V21" s="46">
        <f t="shared" si="0"/>
        <v>20.785400307819984</v>
      </c>
      <c r="W21" s="46">
        <f t="shared" si="1"/>
        <v>22.863938052208169</v>
      </c>
      <c r="X21" s="46">
        <f t="shared" si="2"/>
        <v>25.150331857428995</v>
      </c>
      <c r="Y21" s="46">
        <f t="shared" si="3"/>
        <v>27.665365043171882</v>
      </c>
      <c r="Z21" s="46">
        <f t="shared" si="4"/>
        <v>30.431901547489073</v>
      </c>
      <c r="AA21" s="46">
        <f t="shared" si="5"/>
        <v>33.475091702237997</v>
      </c>
    </row>
    <row r="22" spans="1:27" x14ac:dyDescent="0.2">
      <c r="A22" s="76" t="s">
        <v>146</v>
      </c>
      <c r="B22" s="73">
        <f>B18*((1.025)^13)</f>
        <v>19.301310481572809</v>
      </c>
      <c r="C22" s="73">
        <f t="shared" si="8"/>
        <v>19.789874903137623</v>
      </c>
      <c r="D22" s="73">
        <f>B18*((1.025)^15)</f>
        <v>20.278439324702433</v>
      </c>
      <c r="E22" s="74">
        <f>E18*((1.025)^13)</f>
        <v>21.231439406586148</v>
      </c>
      <c r="F22" s="73">
        <f t="shared" si="9"/>
        <v>21.768860216565361</v>
      </c>
      <c r="G22" s="75">
        <f>E18*((1.025)^15)</f>
        <v>22.306281026544575</v>
      </c>
      <c r="H22" s="73">
        <f>H18*((1.025)^13)</f>
        <v>23.354583347244763</v>
      </c>
      <c r="I22" s="73">
        <f t="shared" si="10"/>
        <v>23.945746238221897</v>
      </c>
      <c r="J22" s="75">
        <f>H18*((1.025)^15)</f>
        <v>24.536909129199032</v>
      </c>
      <c r="K22" s="74">
        <f>K18*((1.025)^13)</f>
        <v>25.690041681969241</v>
      </c>
      <c r="L22" s="73">
        <f t="shared" si="11"/>
        <v>26.340320862044088</v>
      </c>
      <c r="M22" s="75">
        <f>K18*((1.025)^15)</f>
        <v>26.990600042118935</v>
      </c>
      <c r="N22" s="74">
        <f>N18*((1.025)^13)</f>
        <v>28.259045850166171</v>
      </c>
      <c r="O22" s="73">
        <f t="shared" si="12"/>
        <v>28.974352948248502</v>
      </c>
      <c r="P22" s="75">
        <f>N18*((1.025)^15)</f>
        <v>29.689660046330832</v>
      </c>
      <c r="Q22" s="74">
        <f>Q18*((1.025)^13)</f>
        <v>31.08495043518279</v>
      </c>
      <c r="R22" s="73">
        <f t="shared" si="13"/>
        <v>31.871788243073354</v>
      </c>
      <c r="S22" s="75">
        <f>Q18*((1.025)^15)</f>
        <v>32.658626050963917</v>
      </c>
      <c r="T22" s="73"/>
      <c r="U22" s="1">
        <v>17</v>
      </c>
      <c r="V22" s="46">
        <f t="shared" si="0"/>
        <v>21.305035315515482</v>
      </c>
      <c r="W22" s="46">
        <f t="shared" si="1"/>
        <v>23.435536503513372</v>
      </c>
      <c r="X22" s="46">
        <f t="shared" si="2"/>
        <v>25.779090153864718</v>
      </c>
      <c r="Y22" s="46">
        <f t="shared" si="3"/>
        <v>28.356999169251175</v>
      </c>
      <c r="Z22" s="46">
        <f t="shared" si="4"/>
        <v>31.192699086176297</v>
      </c>
      <c r="AA22" s="46">
        <f t="shared" si="5"/>
        <v>34.311968994793943</v>
      </c>
    </row>
    <row r="23" spans="1:27" x14ac:dyDescent="0.2">
      <c r="A23" s="76" t="s">
        <v>147</v>
      </c>
      <c r="B23" s="73">
        <f>B18*((1.025)^16)</f>
        <v>20.785400307819994</v>
      </c>
      <c r="C23" s="73">
        <f t="shared" si="8"/>
        <v>21.864296552196272</v>
      </c>
      <c r="D23" s="73">
        <f>B18*((1.025)^20)</f>
        <v>22.943192796572546</v>
      </c>
      <c r="E23" s="74">
        <f>E18*((1.025)^16)</f>
        <v>22.863938052208187</v>
      </c>
      <c r="F23" s="73">
        <f t="shared" si="9"/>
        <v>24.050723802343516</v>
      </c>
      <c r="G23" s="75">
        <f>E18*((1.025)^20)</f>
        <v>25.237509552478844</v>
      </c>
      <c r="H23" s="74">
        <f>H18*((1.025)^16)</f>
        <v>25.150331857429006</v>
      </c>
      <c r="I23" s="73">
        <f t="shared" si="10"/>
        <v>26.455796182577867</v>
      </c>
      <c r="J23" s="75">
        <f>H18*((1.025)^20)</f>
        <v>27.761260507726728</v>
      </c>
      <c r="K23" s="73">
        <f>K18*((1.025)^16)</f>
        <v>27.665365043171906</v>
      </c>
      <c r="L23" s="73">
        <f t="shared" si="11"/>
        <v>29.101375800835655</v>
      </c>
      <c r="M23" s="75">
        <f>K18*((1.025)^20)</f>
        <v>30.537386558499403</v>
      </c>
      <c r="N23" s="73">
        <f>N18*((1.025)^16)</f>
        <v>30.431901547489101</v>
      </c>
      <c r="O23" s="73">
        <f t="shared" si="12"/>
        <v>32.011513380919226</v>
      </c>
      <c r="P23" s="73">
        <f>N18*((1.025)^20)</f>
        <v>33.591125214349347</v>
      </c>
      <c r="Q23" s="74">
        <f>Q18*((1.025)^16)</f>
        <v>33.475091702238018</v>
      </c>
      <c r="R23" s="73">
        <f t="shared" si="13"/>
        <v>35.212664719011151</v>
      </c>
      <c r="S23" s="75">
        <f>Q18*((1.025)^20)</f>
        <v>36.950237735784285</v>
      </c>
      <c r="T23" s="73"/>
      <c r="U23" s="1">
        <v>18</v>
      </c>
      <c r="V23" s="46">
        <f t="shared" si="0"/>
        <v>21.837661198403367</v>
      </c>
      <c r="W23" s="46">
        <f t="shared" si="1"/>
        <v>24.021424916101203</v>
      </c>
      <c r="X23" s="46">
        <f t="shared" si="2"/>
        <v>26.423567407711335</v>
      </c>
      <c r="Y23" s="46">
        <f t="shared" si="3"/>
        <v>29.065924148482452</v>
      </c>
      <c r="Z23" s="46">
        <f t="shared" si="4"/>
        <v>31.972516563330704</v>
      </c>
      <c r="AA23" s="46">
        <f t="shared" si="5"/>
        <v>35.169768219663787</v>
      </c>
    </row>
    <row r="24" spans="1:27" ht="15" x14ac:dyDescent="0.25">
      <c r="A24" s="44"/>
      <c r="B24" s="36"/>
      <c r="C24" s="46"/>
      <c r="D24" s="36"/>
      <c r="E24" s="81"/>
      <c r="F24" s="81"/>
      <c r="G24" s="81"/>
      <c r="H24" s="81"/>
      <c r="I24" s="73"/>
      <c r="J24" s="73"/>
      <c r="M24" s="40"/>
      <c r="P24" s="1"/>
      <c r="U24" s="1">
        <v>19</v>
      </c>
      <c r="V24" s="46">
        <f t="shared" si="0"/>
        <v>22.383602728363449</v>
      </c>
      <c r="W24" s="46">
        <f t="shared" si="1"/>
        <v>24.62196053900373</v>
      </c>
      <c r="X24" s="46">
        <f t="shared" si="2"/>
        <v>27.084156592904115</v>
      </c>
      <c r="Y24" s="46">
        <f t="shared" si="3"/>
        <v>29.79257225219451</v>
      </c>
      <c r="Z24" s="46">
        <f t="shared" si="4"/>
        <v>32.771829477413966</v>
      </c>
      <c r="AA24" s="46">
        <f t="shared" si="5"/>
        <v>36.049012425155375</v>
      </c>
    </row>
    <row r="25" spans="1:27" ht="15" x14ac:dyDescent="0.25">
      <c r="A25" s="44"/>
      <c r="B25" s="36"/>
      <c r="C25" s="46"/>
      <c r="D25" s="36"/>
      <c r="E25" s="81"/>
      <c r="F25" s="81"/>
      <c r="G25" s="81"/>
      <c r="H25" s="81"/>
      <c r="I25" s="73"/>
      <c r="J25" s="73"/>
      <c r="M25" s="40"/>
      <c r="P25" s="1"/>
      <c r="U25" s="1">
        <v>20</v>
      </c>
      <c r="V25" s="46">
        <f t="shared" si="0"/>
        <v>22.943192796572532</v>
      </c>
      <c r="W25" s="46">
        <f t="shared" si="1"/>
        <v>25.237509552478823</v>
      </c>
      <c r="X25" s="46">
        <f t="shared" si="2"/>
        <v>27.761260507726714</v>
      </c>
      <c r="Y25" s="46">
        <f t="shared" si="3"/>
        <v>30.537386558499371</v>
      </c>
      <c r="Z25" s="46">
        <f t="shared" si="4"/>
        <v>33.591125214349312</v>
      </c>
      <c r="AA25" s="46">
        <f t="shared" si="5"/>
        <v>36.950237735784256</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266</v>
      </c>
      <c r="B28" s="28"/>
      <c r="C28" s="28"/>
      <c r="D28" s="28"/>
      <c r="E28" s="28"/>
      <c r="F28" s="28"/>
      <c r="G28" s="28"/>
      <c r="H28" s="28"/>
      <c r="I28" s="28"/>
      <c r="J28" s="28"/>
      <c r="K28" s="28"/>
      <c r="L28" s="28"/>
      <c r="M28" s="28"/>
      <c r="N28" s="28"/>
      <c r="O28" s="28"/>
      <c r="P28" s="28"/>
      <c r="Q28" s="28"/>
      <c r="R28" s="28"/>
      <c r="S28" s="28"/>
      <c r="V28" s="310" t="s">
        <v>264</v>
      </c>
      <c r="W28" s="310"/>
      <c r="X28" s="310"/>
      <c r="Y28" s="310"/>
      <c r="Z28" s="310"/>
      <c r="AA28" s="310"/>
    </row>
    <row r="29" spans="1:27" ht="15.75" thickBot="1" x14ac:dyDescent="0.3">
      <c r="A29" s="298" t="s">
        <v>135</v>
      </c>
      <c r="B29" s="303" t="s">
        <v>32</v>
      </c>
      <c r="C29" s="282"/>
      <c r="D29" s="282"/>
      <c r="E29" s="282" t="s">
        <v>32</v>
      </c>
      <c r="F29" s="282"/>
      <c r="G29" s="282"/>
      <c r="H29" s="282" t="s">
        <v>33</v>
      </c>
      <c r="I29" s="282"/>
      <c r="J29" s="282"/>
      <c r="K29" s="282" t="s">
        <v>34</v>
      </c>
      <c r="L29" s="282"/>
      <c r="M29" s="282"/>
      <c r="N29" s="282" t="s">
        <v>34</v>
      </c>
      <c r="O29" s="282"/>
      <c r="P29" s="297"/>
      <c r="Q29" s="282" t="s">
        <v>34</v>
      </c>
      <c r="R29" s="282"/>
      <c r="S29" s="297"/>
      <c r="U29" s="1" t="s">
        <v>128</v>
      </c>
      <c r="V29" s="44" t="s">
        <v>129</v>
      </c>
      <c r="W29" s="44" t="s">
        <v>47</v>
      </c>
      <c r="X29" s="44" t="s">
        <v>49</v>
      </c>
      <c r="Y29" s="44" t="s">
        <v>130</v>
      </c>
      <c r="Z29" s="44" t="s">
        <v>131</v>
      </c>
      <c r="AA29" s="44" t="s">
        <v>132</v>
      </c>
    </row>
    <row r="30" spans="1:27" ht="15" x14ac:dyDescent="0.2">
      <c r="A30" s="299"/>
      <c r="B30" s="304" t="s">
        <v>149</v>
      </c>
      <c r="C30" s="305"/>
      <c r="D30" s="311"/>
      <c r="E30" s="294" t="s">
        <v>127</v>
      </c>
      <c r="F30" s="295"/>
      <c r="G30" s="295"/>
      <c r="H30" s="276" t="s">
        <v>42</v>
      </c>
      <c r="I30" s="277"/>
      <c r="J30" s="278"/>
      <c r="K30" s="294" t="s">
        <v>43</v>
      </c>
      <c r="L30" s="295"/>
      <c r="M30" s="296"/>
      <c r="N30" s="294" t="s">
        <v>44</v>
      </c>
      <c r="O30" s="295"/>
      <c r="P30" s="296"/>
      <c r="Q30" s="294" t="s">
        <v>150</v>
      </c>
      <c r="R30" s="295"/>
      <c r="S30" s="296"/>
      <c r="U30" s="1">
        <v>0</v>
      </c>
      <c r="V30" s="46">
        <f>H8</f>
        <v>12.728694454687501</v>
      </c>
      <c r="W30" s="46">
        <f>I8</f>
        <v>14.001562500000002</v>
      </c>
      <c r="X30" s="46">
        <f>K8</f>
        <v>15.401718750000004</v>
      </c>
      <c r="Y30" s="46">
        <f>M8</f>
        <v>16.941890625000006</v>
      </c>
      <c r="Z30" s="46">
        <f>N8</f>
        <v>18.636079687500008</v>
      </c>
      <c r="AA30" s="46">
        <f>O8</f>
        <v>20.499687656250011</v>
      </c>
    </row>
    <row r="31" spans="1:27" ht="15" thickBot="1" x14ac:dyDescent="0.25">
      <c r="A31" s="300"/>
      <c r="B31" s="65" t="s">
        <v>139</v>
      </c>
      <c r="C31" s="66" t="s">
        <v>140</v>
      </c>
      <c r="D31" s="70" t="s">
        <v>141</v>
      </c>
      <c r="E31" s="68" t="s">
        <v>139</v>
      </c>
      <c r="F31" s="68" t="s">
        <v>140</v>
      </c>
      <c r="G31" s="68" t="s">
        <v>141</v>
      </c>
      <c r="H31" s="65" t="s">
        <v>139</v>
      </c>
      <c r="I31" s="66" t="s">
        <v>140</v>
      </c>
      <c r="J31" s="70" t="s">
        <v>141</v>
      </c>
      <c r="K31" s="65" t="s">
        <v>139</v>
      </c>
      <c r="L31" s="66" t="s">
        <v>140</v>
      </c>
      <c r="M31" s="70" t="s">
        <v>141</v>
      </c>
      <c r="N31" s="65" t="s">
        <v>139</v>
      </c>
      <c r="O31" s="66" t="s">
        <v>140</v>
      </c>
      <c r="P31" s="70" t="s">
        <v>141</v>
      </c>
      <c r="Q31" s="65" t="s">
        <v>139</v>
      </c>
      <c r="R31" s="66" t="s">
        <v>140</v>
      </c>
      <c r="S31" s="70" t="s">
        <v>141</v>
      </c>
      <c r="U31" s="1">
        <v>1</v>
      </c>
      <c r="V31" s="46">
        <f t="shared" ref="V31:V50" si="14">V30*1.025</f>
        <v>13.046911816054687</v>
      </c>
      <c r="W31" s="46">
        <f t="shared" ref="W31:W50" si="15">W30*1.025</f>
        <v>14.351601562500001</v>
      </c>
      <c r="X31" s="46">
        <f t="shared" ref="X31:X50" si="16">X30*1.025</f>
        <v>15.786761718750002</v>
      </c>
      <c r="Y31" s="46">
        <f t="shared" ref="Y31:Y50" si="17">Y30*1.025</f>
        <v>17.365437890625007</v>
      </c>
      <c r="Z31" s="46">
        <f t="shared" ref="Z31:Z50" si="18">Z30*1.025</f>
        <v>19.101981679687505</v>
      </c>
      <c r="AA31" s="46">
        <f t="shared" ref="AA31:AA50" si="19">AA30*1.025</f>
        <v>21.01217984765626</v>
      </c>
    </row>
    <row r="32" spans="1:27" x14ac:dyDescent="0.2">
      <c r="A32" s="72" t="s">
        <v>142</v>
      </c>
      <c r="B32" s="73">
        <f>F8</f>
        <v>12.728694454687501</v>
      </c>
      <c r="C32" s="73">
        <f>MEDIAN(B32,D32)</f>
        <v>13.218053090714978</v>
      </c>
      <c r="D32" s="75">
        <f>B32*((1.025)^3)</f>
        <v>13.707411726742455</v>
      </c>
      <c r="E32" s="73">
        <f>I8</f>
        <v>14.001562500000002</v>
      </c>
      <c r="F32" s="73">
        <f>MEDIAN(E32,G32)</f>
        <v>14.539856945800782</v>
      </c>
      <c r="G32" s="73">
        <f>E32*((1.025)^3)</f>
        <v>15.078151391601564</v>
      </c>
      <c r="H32" s="74">
        <f>K8</f>
        <v>15.401718750000004</v>
      </c>
      <c r="I32" s="73">
        <f>MEDIAN(H32,J32)</f>
        <v>15.993842640380862</v>
      </c>
      <c r="J32" s="75">
        <f>H32*((1.025)^3)</f>
        <v>16.58596653076172</v>
      </c>
      <c r="K32" s="74">
        <f>M8</f>
        <v>16.941890625000006</v>
      </c>
      <c r="L32" s="73">
        <f>MEDIAN(K32,M32)</f>
        <v>17.593226904418948</v>
      </c>
      <c r="M32" s="75">
        <f>K32*((1.025)^3)</f>
        <v>18.244563183837894</v>
      </c>
      <c r="N32" s="74">
        <f>N8</f>
        <v>18.636079687500008</v>
      </c>
      <c r="O32" s="73">
        <f>MEDIAN(N32,P32)</f>
        <v>19.352549594860847</v>
      </c>
      <c r="P32" s="75">
        <f>N32*((1.025)^3)</f>
        <v>20.069019502221686</v>
      </c>
      <c r="Q32" s="74">
        <f>O8</f>
        <v>20.499687656250011</v>
      </c>
      <c r="R32" s="73">
        <f>MEDIAN(Q32,S32)</f>
        <v>21.287804554346934</v>
      </c>
      <c r="S32" s="75">
        <f>Q32*((1.025)^3)</f>
        <v>22.075921452443858</v>
      </c>
      <c r="U32" s="1">
        <v>2</v>
      </c>
      <c r="V32" s="46">
        <f t="shared" si="14"/>
        <v>13.373084611456052</v>
      </c>
      <c r="W32" s="46">
        <f t="shared" si="15"/>
        <v>14.710391601562499</v>
      </c>
      <c r="X32" s="46">
        <f t="shared" si="16"/>
        <v>16.181430761718751</v>
      </c>
      <c r="Y32" s="46">
        <f t="shared" si="17"/>
        <v>17.79957383789063</v>
      </c>
      <c r="Z32" s="46">
        <f t="shared" si="18"/>
        <v>19.579531221679691</v>
      </c>
      <c r="AA32" s="46">
        <f t="shared" si="19"/>
        <v>21.537484343847662</v>
      </c>
    </row>
    <row r="33" spans="1:27" x14ac:dyDescent="0.2">
      <c r="A33" s="76" t="s">
        <v>143</v>
      </c>
      <c r="B33" s="73">
        <f>B32*((1.025)^4)</f>
        <v>14.050097019911016</v>
      </c>
      <c r="C33" s="73">
        <f t="shared" ref="C33:C37" si="20">MEDIAN(B33,D33)</f>
        <v>14.405740100727513</v>
      </c>
      <c r="D33" s="75">
        <f>B32*((1.025)^6)</f>
        <v>14.761383181544009</v>
      </c>
      <c r="E33" s="73">
        <f>E32*((1.025)^4)</f>
        <v>15.455105176391601</v>
      </c>
      <c r="F33" s="73">
        <f t="shared" ref="F33:F37" si="21">MEDIAN(E33,G33)</f>
        <v>15.846312526169012</v>
      </c>
      <c r="G33" s="73">
        <f>E32*((1.025)^6)</f>
        <v>16.237519875946422</v>
      </c>
      <c r="H33" s="74">
        <f>H32*((1.025)^4)</f>
        <v>17.000615694030763</v>
      </c>
      <c r="I33" s="73">
        <f t="shared" ref="I33:I37" si="22">MEDIAN(H33,J33)</f>
        <v>17.430943778785917</v>
      </c>
      <c r="J33" s="75">
        <f>H32*((1.025)^6)</f>
        <v>17.861271863541067</v>
      </c>
      <c r="K33" s="74">
        <f>K32*((1.025)^4)</f>
        <v>18.700677263433843</v>
      </c>
      <c r="L33" s="73">
        <f t="shared" ref="L33:L37" si="23">MEDIAN(K33,M33)</f>
        <v>19.174038156664508</v>
      </c>
      <c r="M33" s="75">
        <f>K32*((1.025)^6)</f>
        <v>19.647399049895174</v>
      </c>
      <c r="N33" s="74">
        <f>N32*((1.025)^4)</f>
        <v>20.570744989777225</v>
      </c>
      <c r="O33" s="73">
        <f t="shared" ref="O33:O37" si="24">MEDIAN(N33,P33)</f>
        <v>21.091441972330962</v>
      </c>
      <c r="P33" s="75">
        <f>N32*((1.025)^6)</f>
        <v>21.612138954884696</v>
      </c>
      <c r="Q33" s="74">
        <f>Q32*((1.025)^4)</f>
        <v>22.627819488754952</v>
      </c>
      <c r="R33" s="73">
        <f t="shared" ref="R33:R37" si="25">MEDIAN(Q33,S33)</f>
        <v>23.200586169564058</v>
      </c>
      <c r="S33" s="75">
        <f>Q32*((1.025)^6)</f>
        <v>23.773352850373165</v>
      </c>
      <c r="U33" s="1">
        <v>3</v>
      </c>
      <c r="V33" s="46">
        <f t="shared" si="14"/>
        <v>13.707411726742453</v>
      </c>
      <c r="W33" s="46">
        <f t="shared" si="15"/>
        <v>15.07815139160156</v>
      </c>
      <c r="X33" s="46">
        <f t="shared" si="16"/>
        <v>16.58596653076172</v>
      </c>
      <c r="Y33" s="46">
        <f t="shared" si="17"/>
        <v>18.244563183837894</v>
      </c>
      <c r="Z33" s="46">
        <f t="shared" si="18"/>
        <v>20.069019502221682</v>
      </c>
      <c r="AA33" s="46">
        <f t="shared" si="19"/>
        <v>22.075921452443851</v>
      </c>
    </row>
    <row r="34" spans="1:27" x14ac:dyDescent="0.2">
      <c r="A34" s="76" t="s">
        <v>144</v>
      </c>
      <c r="B34" s="73">
        <f>B32*((1.025)^7)</f>
        <v>15.13041776108261</v>
      </c>
      <c r="C34" s="73">
        <f t="shared" si="20"/>
        <v>15.513406460660011</v>
      </c>
      <c r="D34" s="75">
        <f>B32*((1.025)^9)</f>
        <v>15.896395160237413</v>
      </c>
      <c r="E34" s="73">
        <f>E32*((1.025)^7)</f>
        <v>16.643457872845083</v>
      </c>
      <c r="F34" s="73">
        <f t="shared" si="21"/>
        <v>17.064745400251475</v>
      </c>
      <c r="G34" s="73">
        <f>E32*((1.025)^9)</f>
        <v>17.486032927657863</v>
      </c>
      <c r="H34" s="74">
        <f>H32*((1.025)^7)</f>
        <v>18.307803660129593</v>
      </c>
      <c r="I34" s="73">
        <f t="shared" si="22"/>
        <v>18.771219940276623</v>
      </c>
      <c r="J34" s="75">
        <f>H32*((1.025)^9)</f>
        <v>19.234636220423649</v>
      </c>
      <c r="K34" s="74">
        <f>K32*((1.025)^7)</f>
        <v>20.138584026142556</v>
      </c>
      <c r="L34" s="73">
        <f t="shared" si="23"/>
        <v>20.648341934304288</v>
      </c>
      <c r="M34" s="75">
        <f>K32*((1.025)^9)</f>
        <v>21.158099842466019</v>
      </c>
      <c r="N34" s="74">
        <f>N32*((1.025)^7)</f>
        <v>22.152442428756814</v>
      </c>
      <c r="O34" s="73">
        <f t="shared" si="24"/>
        <v>22.71317612773472</v>
      </c>
      <c r="P34" s="75">
        <f>N32*((1.025)^9)</f>
        <v>23.273909826712622</v>
      </c>
      <c r="Q34" s="74">
        <f>Q32*((1.025)^7)</f>
        <v>24.367686671632498</v>
      </c>
      <c r="R34" s="73">
        <f t="shared" si="25"/>
        <v>24.984493740508192</v>
      </c>
      <c r="S34" s="75">
        <f>Q32*((1.025)^9)</f>
        <v>25.601300809383886</v>
      </c>
      <c r="U34" s="1">
        <v>4</v>
      </c>
      <c r="V34" s="46">
        <f t="shared" si="14"/>
        <v>14.050097019911014</v>
      </c>
      <c r="W34" s="46">
        <f t="shared" si="15"/>
        <v>15.455105176391598</v>
      </c>
      <c r="X34" s="46">
        <f t="shared" si="16"/>
        <v>17.00061569403076</v>
      </c>
      <c r="Y34" s="46">
        <f t="shared" si="17"/>
        <v>18.700677263433839</v>
      </c>
      <c r="Z34" s="46">
        <f t="shared" si="18"/>
        <v>20.570744989777221</v>
      </c>
      <c r="AA34" s="46">
        <f t="shared" si="19"/>
        <v>22.627819488754945</v>
      </c>
    </row>
    <row r="35" spans="1:27" x14ac:dyDescent="0.2">
      <c r="A35" s="76" t="s">
        <v>145</v>
      </c>
      <c r="B35" s="73">
        <f>B32*((1.025)^10)</f>
        <v>16.293805039243349</v>
      </c>
      <c r="C35" s="73">
        <f t="shared" si="20"/>
        <v>16.706241979299193</v>
      </c>
      <c r="D35" s="75">
        <f>B32*((1.025)^12)</f>
        <v>17.118678919355041</v>
      </c>
      <c r="E35" s="73">
        <f>E32*((1.025)^10)</f>
        <v>17.923183750849308</v>
      </c>
      <c r="F35" s="73">
        <f t="shared" si="21"/>
        <v>18.376864339542678</v>
      </c>
      <c r="G35" s="73">
        <f>E32*((1.025)^12)</f>
        <v>18.830544928236051</v>
      </c>
      <c r="H35" s="74">
        <f>H32*((1.025)^10)</f>
        <v>19.715502125934243</v>
      </c>
      <c r="I35" s="73">
        <f t="shared" si="22"/>
        <v>20.214550773496953</v>
      </c>
      <c r="J35" s="75">
        <f>H32*((1.025)^12)</f>
        <v>20.713599421059662</v>
      </c>
      <c r="K35" s="74">
        <f>K32*((1.025)^10)</f>
        <v>21.687052338527668</v>
      </c>
      <c r="L35" s="73">
        <f t="shared" si="23"/>
        <v>22.236005850846649</v>
      </c>
      <c r="M35" s="75">
        <f>K32*((1.025)^12)</f>
        <v>22.78495936316563</v>
      </c>
      <c r="N35" s="74">
        <f>N32*((1.025)^10)</f>
        <v>23.855757572380437</v>
      </c>
      <c r="O35" s="73">
        <f t="shared" si="24"/>
        <v>24.459606435931313</v>
      </c>
      <c r="P35" s="75">
        <f>N32*((1.025)^12)</f>
        <v>25.063455299482193</v>
      </c>
      <c r="Q35" s="74">
        <f>Q32*((1.025)^10)</f>
        <v>26.241333329618481</v>
      </c>
      <c r="R35" s="73">
        <f t="shared" si="25"/>
        <v>26.905567079524449</v>
      </c>
      <c r="S35" s="75">
        <f>Q32*((1.025)^12)</f>
        <v>27.569800829430417</v>
      </c>
      <c r="U35" s="1">
        <v>5</v>
      </c>
      <c r="V35" s="46">
        <f t="shared" si="14"/>
        <v>14.401349445408789</v>
      </c>
      <c r="W35" s="46">
        <f t="shared" si="15"/>
        <v>15.841482805801386</v>
      </c>
      <c r="X35" s="46">
        <f t="shared" si="16"/>
        <v>17.425631086381529</v>
      </c>
      <c r="Y35" s="46">
        <f t="shared" si="17"/>
        <v>19.168194195019684</v>
      </c>
      <c r="Z35" s="46">
        <f t="shared" si="18"/>
        <v>21.08501361452165</v>
      </c>
      <c r="AA35" s="46">
        <f t="shared" si="19"/>
        <v>23.193514975973816</v>
      </c>
    </row>
    <row r="36" spans="1:27" x14ac:dyDescent="0.2">
      <c r="A36" s="76" t="s">
        <v>146</v>
      </c>
      <c r="B36" s="73">
        <f>B32*((1.025)^13)</f>
        <v>17.546645892338915</v>
      </c>
      <c r="C36" s="73">
        <f t="shared" si="20"/>
        <v>17.990795366488747</v>
      </c>
      <c r="D36" s="73">
        <f>B32*((1.025)^15)</f>
        <v>18.434944840638575</v>
      </c>
      <c r="E36" s="74">
        <f>E32*((1.025)^13)</f>
        <v>19.301308551441952</v>
      </c>
      <c r="F36" s="73">
        <f t="shared" si="21"/>
        <v>19.78987292415033</v>
      </c>
      <c r="G36" s="75">
        <f>E32*((1.025)^15)</f>
        <v>20.278437296858705</v>
      </c>
      <c r="H36" s="73">
        <f>H32*((1.025)^13)</f>
        <v>21.231439406586151</v>
      </c>
      <c r="I36" s="73">
        <f t="shared" si="22"/>
        <v>21.768860216565365</v>
      </c>
      <c r="J36" s="75">
        <f>H32*((1.025)^15)</f>
        <v>22.306281026544575</v>
      </c>
      <c r="K36" s="74">
        <f>K32*((1.025)^13)</f>
        <v>23.35458334724477</v>
      </c>
      <c r="L36" s="73">
        <f t="shared" si="23"/>
        <v>23.945746238221901</v>
      </c>
      <c r="M36" s="75">
        <f>K32*((1.025)^15)</f>
        <v>24.536909129199035</v>
      </c>
      <c r="N36" s="74">
        <f>N32*((1.025)^13)</f>
        <v>25.690041681969248</v>
      </c>
      <c r="O36" s="73">
        <f t="shared" si="24"/>
        <v>26.340320862044095</v>
      </c>
      <c r="P36" s="75">
        <f>N32*((1.025)^15)</f>
        <v>26.990600042118942</v>
      </c>
      <c r="Q36" s="74">
        <f>Q32*((1.025)^13)</f>
        <v>28.259045850166174</v>
      </c>
      <c r="R36" s="73">
        <f t="shared" si="25"/>
        <v>28.974352948248509</v>
      </c>
      <c r="S36" s="75">
        <f>Q32*((1.025)^15)</f>
        <v>29.68966004633084</v>
      </c>
      <c r="T36" s="46"/>
      <c r="U36" s="1">
        <v>6</v>
      </c>
      <c r="V36" s="46">
        <f t="shared" si="14"/>
        <v>14.761383181544007</v>
      </c>
      <c r="W36" s="46">
        <f t="shared" si="15"/>
        <v>16.237519875946418</v>
      </c>
      <c r="X36" s="46">
        <f t="shared" si="16"/>
        <v>17.861271863541067</v>
      </c>
      <c r="Y36" s="46">
        <f t="shared" si="17"/>
        <v>19.647399049895174</v>
      </c>
      <c r="Z36" s="46">
        <f t="shared" si="18"/>
        <v>21.612138954884689</v>
      </c>
      <c r="AA36" s="46">
        <f t="shared" si="19"/>
        <v>23.773352850373158</v>
      </c>
    </row>
    <row r="37" spans="1:27" x14ac:dyDescent="0.2">
      <c r="A37" s="76" t="s">
        <v>147</v>
      </c>
      <c r="B37" s="73">
        <f>B32*((1.025)^16)</f>
        <v>18.895818461654535</v>
      </c>
      <c r="C37" s="73">
        <f t="shared" si="20"/>
        <v>19.876633229269331</v>
      </c>
      <c r="D37" s="73">
        <f>B32*((1.025)^20)</f>
        <v>20.85744799688413</v>
      </c>
      <c r="E37" s="74">
        <f>E32*((1.025)^16)</f>
        <v>20.785398229280169</v>
      </c>
      <c r="F37" s="73">
        <f t="shared" si="21"/>
        <v>21.864294365766831</v>
      </c>
      <c r="G37" s="75">
        <f>E32*((1.025)^20)</f>
        <v>22.943190502253493</v>
      </c>
      <c r="H37" s="74">
        <f>H32*((1.025)^16)</f>
        <v>22.863938052208187</v>
      </c>
      <c r="I37" s="73">
        <f t="shared" si="22"/>
        <v>24.050723802343519</v>
      </c>
      <c r="J37" s="75">
        <f>H32*((1.025)^20)</f>
        <v>25.237509552478848</v>
      </c>
      <c r="K37" s="73">
        <f>K32*((1.025)^16)</f>
        <v>25.150331857429009</v>
      </c>
      <c r="L37" s="73">
        <f t="shared" si="23"/>
        <v>26.45579618257787</v>
      </c>
      <c r="M37" s="75">
        <f>K32*((1.025)^20)</f>
        <v>27.761260507726735</v>
      </c>
      <c r="N37" s="73">
        <f>N32*((1.025)^16)</f>
        <v>27.665365043171914</v>
      </c>
      <c r="O37" s="73">
        <f t="shared" si="24"/>
        <v>29.101375800835662</v>
      </c>
      <c r="P37" s="73">
        <f>N32*((1.025)^20)</f>
        <v>30.53738655849941</v>
      </c>
      <c r="Q37" s="74">
        <f>Q32*((1.025)^16)</f>
        <v>30.431901547489108</v>
      </c>
      <c r="R37" s="73">
        <f t="shared" si="25"/>
        <v>32.011513380919233</v>
      </c>
      <c r="S37" s="75">
        <f>Q32*((1.025)^20)</f>
        <v>33.591125214349354</v>
      </c>
      <c r="U37" s="1">
        <v>7</v>
      </c>
      <c r="V37" s="46">
        <f t="shared" si="14"/>
        <v>15.130417761082606</v>
      </c>
      <c r="W37" s="46">
        <f t="shared" si="15"/>
        <v>16.643457872845076</v>
      </c>
      <c r="X37" s="46">
        <f t="shared" si="16"/>
        <v>18.30780366012959</v>
      </c>
      <c r="Y37" s="46">
        <f t="shared" si="17"/>
        <v>20.138584026142553</v>
      </c>
      <c r="Z37" s="46">
        <f t="shared" si="18"/>
        <v>22.152442428756803</v>
      </c>
      <c r="AA37" s="46">
        <f t="shared" si="19"/>
        <v>24.367686671632484</v>
      </c>
    </row>
    <row r="38" spans="1:27" ht="15" x14ac:dyDescent="0.25">
      <c r="A38" s="44"/>
      <c r="B38" s="36"/>
      <c r="C38" s="46"/>
      <c r="D38" s="36"/>
      <c r="E38" s="81"/>
      <c r="F38" s="81"/>
      <c r="G38" s="81"/>
      <c r="H38" s="81"/>
      <c r="I38" s="73"/>
      <c r="J38" s="73"/>
      <c r="M38" s="40"/>
      <c r="P38" s="1"/>
      <c r="U38" s="1">
        <v>8</v>
      </c>
      <c r="V38" s="46">
        <f t="shared" si="14"/>
        <v>15.508678205109669</v>
      </c>
      <c r="W38" s="46">
        <f t="shared" si="15"/>
        <v>17.059544319666202</v>
      </c>
      <c r="X38" s="46">
        <f t="shared" si="16"/>
        <v>18.76549875163283</v>
      </c>
      <c r="Y38" s="46">
        <f t="shared" si="17"/>
        <v>20.642048626796115</v>
      </c>
      <c r="Z38" s="46">
        <f t="shared" si="18"/>
        <v>22.706253489475721</v>
      </c>
      <c r="AA38" s="46">
        <f t="shared" si="19"/>
        <v>24.976878838423293</v>
      </c>
    </row>
    <row r="39" spans="1:27" x14ac:dyDescent="0.2">
      <c r="O39" s="40"/>
      <c r="P39" s="1"/>
      <c r="U39" s="1">
        <v>9</v>
      </c>
      <c r="V39" s="46">
        <f t="shared" si="14"/>
        <v>15.896395160237409</v>
      </c>
      <c r="W39" s="46">
        <f t="shared" si="15"/>
        <v>17.486032927657856</v>
      </c>
      <c r="X39" s="46">
        <f t="shared" si="16"/>
        <v>19.234636220423649</v>
      </c>
      <c r="Y39" s="46">
        <f t="shared" si="17"/>
        <v>21.158099842466015</v>
      </c>
      <c r="Z39" s="46">
        <f t="shared" si="18"/>
        <v>23.273909826712611</v>
      </c>
      <c r="AA39" s="46">
        <f t="shared" si="19"/>
        <v>25.601300809383872</v>
      </c>
    </row>
    <row r="40" spans="1:27" x14ac:dyDescent="0.2">
      <c r="U40" s="1">
        <v>10</v>
      </c>
      <c r="V40" s="46">
        <f t="shared" si="14"/>
        <v>16.293805039243342</v>
      </c>
      <c r="W40" s="46">
        <f t="shared" si="15"/>
        <v>17.923183750849301</v>
      </c>
      <c r="X40" s="46">
        <f t="shared" si="16"/>
        <v>19.71550212593424</v>
      </c>
      <c r="Y40" s="46">
        <f t="shared" si="17"/>
        <v>21.687052338527664</v>
      </c>
      <c r="Z40" s="46">
        <f t="shared" si="18"/>
        <v>23.855757572380423</v>
      </c>
      <c r="AA40" s="46">
        <f t="shared" si="19"/>
        <v>26.241333329618467</v>
      </c>
    </row>
    <row r="41" spans="1:27" x14ac:dyDescent="0.2">
      <c r="U41" s="1">
        <v>11</v>
      </c>
      <c r="V41" s="46">
        <f t="shared" si="14"/>
        <v>16.701150165224423</v>
      </c>
      <c r="W41" s="46">
        <f t="shared" si="15"/>
        <v>18.37126334462053</v>
      </c>
      <c r="X41" s="46">
        <f t="shared" si="16"/>
        <v>20.208389679082593</v>
      </c>
      <c r="Y41" s="46">
        <f t="shared" si="17"/>
        <v>22.229228646990855</v>
      </c>
      <c r="Z41" s="46">
        <f t="shared" si="18"/>
        <v>24.45215151168993</v>
      </c>
      <c r="AA41" s="46">
        <f t="shared" si="19"/>
        <v>26.897366662858925</v>
      </c>
    </row>
    <row r="42" spans="1:27" x14ac:dyDescent="0.2">
      <c r="D42" s="83"/>
      <c r="U42" s="1">
        <v>12</v>
      </c>
      <c r="V42" s="46">
        <f t="shared" si="14"/>
        <v>17.11867891935503</v>
      </c>
      <c r="W42" s="46">
        <f t="shared" si="15"/>
        <v>18.830544928236041</v>
      </c>
      <c r="X42" s="46">
        <f t="shared" si="16"/>
        <v>20.713599421059655</v>
      </c>
      <c r="Y42" s="46">
        <f t="shared" si="17"/>
        <v>22.784959363165623</v>
      </c>
      <c r="Z42" s="46">
        <f t="shared" si="18"/>
        <v>25.063455299482175</v>
      </c>
      <c r="AA42" s="46">
        <f t="shared" si="19"/>
        <v>27.569800829430395</v>
      </c>
    </row>
    <row r="43" spans="1:27" x14ac:dyDescent="0.2">
      <c r="D43" s="83"/>
      <c r="G43" s="35"/>
      <c r="U43" s="1">
        <v>13</v>
      </c>
      <c r="V43" s="46">
        <f t="shared" si="14"/>
        <v>17.546645892338905</v>
      </c>
      <c r="W43" s="46">
        <f t="shared" si="15"/>
        <v>19.301308551441942</v>
      </c>
      <c r="X43" s="46">
        <f t="shared" si="16"/>
        <v>21.231439406586144</v>
      </c>
      <c r="Y43" s="46">
        <f t="shared" si="17"/>
        <v>23.354583347244763</v>
      </c>
      <c r="Z43" s="46">
        <f t="shared" si="18"/>
        <v>25.690041681969227</v>
      </c>
      <c r="AA43" s="46">
        <f t="shared" si="19"/>
        <v>28.259045850166153</v>
      </c>
    </row>
    <row r="44" spans="1:27" x14ac:dyDescent="0.2">
      <c r="D44" s="83"/>
      <c r="U44" s="1">
        <v>14</v>
      </c>
      <c r="V44" s="46">
        <f t="shared" si="14"/>
        <v>17.985312039647376</v>
      </c>
      <c r="W44" s="46">
        <f t="shared" si="15"/>
        <v>19.783841265227988</v>
      </c>
      <c r="X44" s="46">
        <f t="shared" si="16"/>
        <v>21.762225391750796</v>
      </c>
      <c r="Y44" s="46">
        <f t="shared" si="17"/>
        <v>23.938447930925879</v>
      </c>
      <c r="Z44" s="46">
        <f t="shared" si="18"/>
        <v>26.332292724018455</v>
      </c>
      <c r="AA44" s="46">
        <f t="shared" si="19"/>
        <v>28.965521996420303</v>
      </c>
    </row>
    <row r="45" spans="1:27" x14ac:dyDescent="0.2">
      <c r="U45" s="1">
        <v>15</v>
      </c>
      <c r="V45" s="46">
        <f t="shared" si="14"/>
        <v>18.434944840638558</v>
      </c>
      <c r="W45" s="46">
        <f t="shared" si="15"/>
        <v>20.278437296858687</v>
      </c>
      <c r="X45" s="46">
        <f t="shared" si="16"/>
        <v>22.306281026544564</v>
      </c>
      <c r="Y45" s="46">
        <f t="shared" si="17"/>
        <v>24.536909129199024</v>
      </c>
      <c r="Z45" s="46">
        <f t="shared" si="18"/>
        <v>26.990600042118913</v>
      </c>
      <c r="AA45" s="46">
        <f t="shared" si="19"/>
        <v>29.689660046330808</v>
      </c>
    </row>
    <row r="46" spans="1:27" x14ac:dyDescent="0.2">
      <c r="U46" s="1">
        <v>16</v>
      </c>
      <c r="V46" s="46">
        <f t="shared" si="14"/>
        <v>18.895818461654521</v>
      </c>
      <c r="W46" s="46">
        <f t="shared" si="15"/>
        <v>20.785398229280151</v>
      </c>
      <c r="X46" s="46">
        <f t="shared" si="16"/>
        <v>22.863938052208177</v>
      </c>
      <c r="Y46" s="46">
        <f t="shared" si="17"/>
        <v>25.150331857428998</v>
      </c>
      <c r="Z46" s="46">
        <f t="shared" si="18"/>
        <v>27.665365043171885</v>
      </c>
      <c r="AA46" s="46">
        <f t="shared" si="19"/>
        <v>30.431901547489076</v>
      </c>
    </row>
    <row r="47" spans="1:27" x14ac:dyDescent="0.2">
      <c r="U47" s="1">
        <v>17</v>
      </c>
      <c r="V47" s="46">
        <f t="shared" si="14"/>
        <v>19.368213923195881</v>
      </c>
      <c r="W47" s="46">
        <f t="shared" si="15"/>
        <v>21.305033185012153</v>
      </c>
      <c r="X47" s="46">
        <f t="shared" si="16"/>
        <v>23.435536503513379</v>
      </c>
      <c r="Y47" s="46">
        <f t="shared" si="17"/>
        <v>25.779090153864722</v>
      </c>
      <c r="Z47" s="46">
        <f t="shared" si="18"/>
        <v>28.356999169251178</v>
      </c>
      <c r="AA47" s="46">
        <f t="shared" si="19"/>
        <v>31.192699086176301</v>
      </c>
    </row>
    <row r="48" spans="1:27" x14ac:dyDescent="0.2">
      <c r="U48" s="1">
        <v>18</v>
      </c>
      <c r="V48" s="46">
        <f t="shared" si="14"/>
        <v>19.852419271275778</v>
      </c>
      <c r="W48" s="46">
        <f t="shared" si="15"/>
        <v>21.837659014637456</v>
      </c>
      <c r="X48" s="46">
        <f t="shared" si="16"/>
        <v>24.021424916101211</v>
      </c>
      <c r="Y48" s="46">
        <f t="shared" si="17"/>
        <v>26.423567407711339</v>
      </c>
      <c r="Z48" s="46">
        <f t="shared" si="18"/>
        <v>29.065924148482456</v>
      </c>
      <c r="AA48" s="46">
        <f t="shared" si="19"/>
        <v>31.972516563330707</v>
      </c>
    </row>
    <row r="49" spans="21:27" x14ac:dyDescent="0.2">
      <c r="U49" s="1">
        <v>19</v>
      </c>
      <c r="V49" s="46">
        <f t="shared" si="14"/>
        <v>20.348729753057672</v>
      </c>
      <c r="W49" s="46">
        <f t="shared" si="15"/>
        <v>22.383600490003392</v>
      </c>
      <c r="X49" s="46">
        <f t="shared" si="16"/>
        <v>24.621960539003737</v>
      </c>
      <c r="Y49" s="46">
        <f t="shared" si="17"/>
        <v>27.084156592904119</v>
      </c>
      <c r="Z49" s="46">
        <f t="shared" si="18"/>
        <v>29.792572252194514</v>
      </c>
      <c r="AA49" s="46">
        <f t="shared" si="19"/>
        <v>32.771829477413974</v>
      </c>
    </row>
    <row r="50" spans="21:27" x14ac:dyDescent="0.2">
      <c r="U50" s="1">
        <v>20</v>
      </c>
      <c r="V50" s="46">
        <f t="shared" si="14"/>
        <v>20.857447996884112</v>
      </c>
      <c r="W50" s="46">
        <f t="shared" si="15"/>
        <v>22.943190502253476</v>
      </c>
      <c r="X50" s="46">
        <f t="shared" si="16"/>
        <v>25.23750955247883</v>
      </c>
      <c r="Y50" s="46">
        <f t="shared" si="17"/>
        <v>27.761260507726718</v>
      </c>
      <c r="Z50" s="46">
        <f t="shared" si="18"/>
        <v>30.537386558499374</v>
      </c>
      <c r="AA50" s="46">
        <f t="shared" si="19"/>
        <v>33.591125214349319</v>
      </c>
    </row>
  </sheetData>
  <mergeCells count="48">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3:L3"/>
    <mergeCell ref="K4:L4"/>
    <mergeCell ref="A7:H7"/>
    <mergeCell ref="A9:H9"/>
    <mergeCell ref="A15:A17"/>
    <mergeCell ref="B15:D15"/>
    <mergeCell ref="E15:G15"/>
    <mergeCell ref="H15:J15"/>
    <mergeCell ref="Q15:S15"/>
    <mergeCell ref="B16:D16"/>
    <mergeCell ref="E16:G16"/>
    <mergeCell ref="H16:J16"/>
    <mergeCell ref="K16:M16"/>
    <mergeCell ref="N16:P16"/>
    <mergeCell ref="Q16:S16"/>
    <mergeCell ref="K15:M15"/>
    <mergeCell ref="N15:P15"/>
    <mergeCell ref="A29:A31"/>
    <mergeCell ref="B29:D29"/>
    <mergeCell ref="E29:G29"/>
    <mergeCell ref="H29:J29"/>
    <mergeCell ref="K29:M29"/>
    <mergeCell ref="B30:D30"/>
    <mergeCell ref="E30:G30"/>
    <mergeCell ref="H30:J30"/>
    <mergeCell ref="K30:M30"/>
    <mergeCell ref="N30:P30"/>
    <mergeCell ref="Q30:S30"/>
    <mergeCell ref="V28:AA28"/>
    <mergeCell ref="N29:P29"/>
    <mergeCell ref="Q29:S29"/>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I36" sqref="I36"/>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2" t="s">
        <v>267</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2" spans="1:26" ht="15.75" x14ac:dyDescent="0.25">
      <c r="A2" s="225" t="s">
        <v>373</v>
      </c>
    </row>
    <row r="3" spans="1:26" x14ac:dyDescent="0.25">
      <c r="A3" s="12">
        <v>315</v>
      </c>
    </row>
    <row r="4" spans="1:26" ht="20.25" x14ac:dyDescent="0.3">
      <c r="A4" s="171"/>
      <c r="B4" s="171"/>
      <c r="C4" s="171"/>
      <c r="D4" s="171"/>
      <c r="E4" s="171"/>
      <c r="F4" s="171"/>
      <c r="G4" s="171"/>
      <c r="H4" s="171"/>
      <c r="I4" s="171"/>
      <c r="J4" s="171"/>
      <c r="K4" s="171"/>
      <c r="L4" s="171"/>
      <c r="M4" s="171"/>
      <c r="N4" s="171"/>
      <c r="O4" s="171"/>
    </row>
    <row r="5" spans="1:26" ht="15.75" x14ac:dyDescent="0.25">
      <c r="A5" s="317" t="s">
        <v>152</v>
      </c>
      <c r="B5" s="317"/>
      <c r="C5" s="317"/>
      <c r="E5" s="317" t="s">
        <v>153</v>
      </c>
      <c r="F5" s="317"/>
      <c r="G5" s="317"/>
      <c r="I5" s="317" t="s">
        <v>154</v>
      </c>
      <c r="J5" s="317"/>
      <c r="K5" s="317"/>
      <c r="M5" s="34" t="s">
        <v>155</v>
      </c>
      <c r="N5" s="34"/>
      <c r="O5" s="34"/>
    </row>
    <row r="6" spans="1:26" x14ac:dyDescent="0.25">
      <c r="A6" s="16" t="s">
        <v>156</v>
      </c>
      <c r="B6" s="16" t="s">
        <v>157</v>
      </c>
      <c r="C6" s="16" t="s">
        <v>158</v>
      </c>
      <c r="E6" s="16" t="s">
        <v>156</v>
      </c>
      <c r="F6" s="16" t="s">
        <v>157</v>
      </c>
      <c r="G6" s="16" t="s">
        <v>158</v>
      </c>
      <c r="I6" s="25" t="s">
        <v>159</v>
      </c>
      <c r="J6" s="16" t="s">
        <v>157</v>
      </c>
      <c r="K6" s="16" t="s">
        <v>158</v>
      </c>
      <c r="M6" s="25" t="s">
        <v>160</v>
      </c>
      <c r="N6" s="16" t="s">
        <v>157</v>
      </c>
      <c r="O6" s="16" t="s">
        <v>158</v>
      </c>
    </row>
    <row r="7" spans="1:26" x14ac:dyDescent="0.25">
      <c r="A7" s="17" t="s">
        <v>161</v>
      </c>
      <c r="B7" s="18">
        <v>9</v>
      </c>
      <c r="C7" s="19">
        <f>B7/A3</f>
        <v>2.8571428571428571E-2</v>
      </c>
      <c r="E7" s="23" t="s">
        <v>162</v>
      </c>
      <c r="F7" s="18"/>
      <c r="G7" s="19">
        <v>0.11700000000000001</v>
      </c>
      <c r="I7" s="23" t="s">
        <v>163</v>
      </c>
      <c r="J7" s="18">
        <v>276</v>
      </c>
      <c r="K7" s="19">
        <f>J7/A3</f>
        <v>0.87619047619047619</v>
      </c>
      <c r="M7" s="23" t="s">
        <v>164</v>
      </c>
      <c r="N7" s="18">
        <v>17</v>
      </c>
      <c r="O7" s="19">
        <f>N7/A3</f>
        <v>5.3968253968253971E-2</v>
      </c>
    </row>
    <row r="8" spans="1:26" x14ac:dyDescent="0.25">
      <c r="A8" s="20" t="s">
        <v>165</v>
      </c>
      <c r="B8" s="21">
        <v>62</v>
      </c>
      <c r="C8" s="22">
        <f>B8/A3</f>
        <v>0.19682539682539682</v>
      </c>
      <c r="E8" s="24" t="s">
        <v>166</v>
      </c>
      <c r="F8" s="21"/>
      <c r="G8" s="19">
        <v>0.32</v>
      </c>
      <c r="I8" s="24" t="s">
        <v>167</v>
      </c>
      <c r="J8" s="21">
        <v>19</v>
      </c>
      <c r="K8" s="19">
        <f>J8/A3</f>
        <v>6.0317460317460318E-2</v>
      </c>
      <c r="M8" s="24" t="s">
        <v>168</v>
      </c>
      <c r="N8" s="21">
        <v>298</v>
      </c>
      <c r="O8" s="22">
        <f>N8/A3</f>
        <v>0.946031746031746</v>
      </c>
    </row>
    <row r="9" spans="1:26" x14ac:dyDescent="0.25">
      <c r="A9" s="20" t="s">
        <v>169</v>
      </c>
      <c r="B9" s="21">
        <v>68</v>
      </c>
      <c r="C9" s="22">
        <f>B9/A3</f>
        <v>0.21587301587301588</v>
      </c>
      <c r="E9" s="24" t="s">
        <v>170</v>
      </c>
      <c r="F9" s="21"/>
      <c r="G9" s="19">
        <v>0.254</v>
      </c>
      <c r="I9" s="24" t="s">
        <v>171</v>
      </c>
      <c r="J9" s="21">
        <v>11</v>
      </c>
      <c r="K9" s="19">
        <f>J9/A3</f>
        <v>3.4920634920634921E-2</v>
      </c>
    </row>
    <row r="10" spans="1:26" x14ac:dyDescent="0.25">
      <c r="A10" s="20" t="s">
        <v>172</v>
      </c>
      <c r="B10" s="21">
        <v>56</v>
      </c>
      <c r="C10" s="22">
        <f>B10/A3</f>
        <v>0.17777777777777778</v>
      </c>
      <c r="E10" s="24" t="s">
        <v>173</v>
      </c>
      <c r="F10" s="21"/>
      <c r="G10" s="19">
        <v>0.113</v>
      </c>
      <c r="I10" s="24" t="s">
        <v>174</v>
      </c>
      <c r="J10" s="21">
        <v>5</v>
      </c>
      <c r="K10" s="19">
        <f>J10/A3</f>
        <v>1.5873015873015872E-2</v>
      </c>
    </row>
    <row r="11" spans="1:26" x14ac:dyDescent="0.25">
      <c r="A11" s="20" t="s">
        <v>175</v>
      </c>
      <c r="B11" s="21">
        <v>53</v>
      </c>
      <c r="C11" s="22">
        <f>B11/A3</f>
        <v>0.16825396825396827</v>
      </c>
      <c r="E11" s="24" t="s">
        <v>176</v>
      </c>
      <c r="F11" s="21"/>
      <c r="G11" s="19">
        <v>0.159</v>
      </c>
      <c r="I11" s="24" t="s">
        <v>177</v>
      </c>
      <c r="J11" s="21">
        <v>2</v>
      </c>
      <c r="K11" s="19">
        <f>J11/A3</f>
        <v>6.3492063492063492E-3</v>
      </c>
    </row>
    <row r="12" spans="1:26" x14ac:dyDescent="0.25">
      <c r="A12" s="20" t="s">
        <v>178</v>
      </c>
      <c r="B12" s="21">
        <v>44</v>
      </c>
      <c r="C12" s="22">
        <f>B12/A3</f>
        <v>0.13968253968253969</v>
      </c>
      <c r="E12" s="24" t="s">
        <v>179</v>
      </c>
      <c r="F12" s="21"/>
      <c r="G12" s="19">
        <v>3.1E-2</v>
      </c>
      <c r="I12" s="24" t="s">
        <v>180</v>
      </c>
      <c r="J12" s="21">
        <v>1</v>
      </c>
      <c r="K12" s="19">
        <f>J12/A3</f>
        <v>3.1746031746031746E-3</v>
      </c>
    </row>
    <row r="13" spans="1:26" x14ac:dyDescent="0.25">
      <c r="A13" s="20" t="s">
        <v>181</v>
      </c>
      <c r="B13" s="21">
        <v>24</v>
      </c>
      <c r="C13" s="22">
        <f>B13/A3</f>
        <v>7.6190476190476197E-2</v>
      </c>
      <c r="E13" s="24" t="s">
        <v>182</v>
      </c>
      <c r="F13" s="21"/>
      <c r="G13" s="19">
        <v>6.0000000000000001E-3</v>
      </c>
      <c r="I13" s="24" t="s">
        <v>183</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5" zoomScaleNormal="100" workbookViewId="0">
      <selection activeCell="E32" sqref="E32"/>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42"/>
      <c r="B1" s="242"/>
      <c r="C1" s="242"/>
      <c r="D1" s="242"/>
      <c r="E1" s="242"/>
      <c r="F1" s="242"/>
      <c r="G1" s="242"/>
      <c r="H1" s="242"/>
      <c r="I1" s="242"/>
      <c r="J1" s="242"/>
      <c r="K1" s="242"/>
      <c r="L1" s="242"/>
      <c r="M1" s="242"/>
      <c r="N1" s="242"/>
      <c r="O1" s="242"/>
      <c r="P1" s="242"/>
    </row>
    <row r="2" spans="1:17" x14ac:dyDescent="0.2">
      <c r="A2" s="38"/>
    </row>
    <row r="3" spans="1:17" ht="15" x14ac:dyDescent="0.25">
      <c r="A3" s="15" t="s">
        <v>26</v>
      </c>
    </row>
    <row r="4" spans="1:17" ht="80.25" customHeight="1" x14ac:dyDescent="0.2">
      <c r="A4" s="261" t="s">
        <v>371</v>
      </c>
      <c r="B4" s="261"/>
      <c r="C4" s="261"/>
      <c r="D4" s="261"/>
      <c r="E4" s="261"/>
      <c r="F4" s="261"/>
      <c r="G4" s="261"/>
      <c r="H4" s="261"/>
      <c r="I4" s="261"/>
      <c r="J4" s="261"/>
      <c r="K4" s="261"/>
      <c r="L4" s="261"/>
      <c r="M4" s="261"/>
      <c r="N4" s="261"/>
      <c r="O4" s="261"/>
      <c r="P4" s="261"/>
    </row>
    <row r="5" spans="1:17" ht="96.75" customHeight="1" x14ac:dyDescent="0.2">
      <c r="A5" s="261"/>
      <c r="B5" s="261"/>
      <c r="C5" s="261"/>
      <c r="D5" s="261"/>
      <c r="E5" s="261"/>
      <c r="F5" s="261"/>
      <c r="G5" s="261"/>
      <c r="H5" s="261"/>
      <c r="I5" s="261"/>
      <c r="J5" s="261"/>
      <c r="K5" s="261"/>
      <c r="L5" s="261"/>
      <c r="M5" s="261"/>
      <c r="N5" s="261"/>
      <c r="O5" s="261"/>
      <c r="P5" s="261"/>
    </row>
    <row r="6" spans="1:17" ht="15" thickBot="1" x14ac:dyDescent="0.25"/>
    <row r="7" spans="1:17" ht="15.75" thickBot="1" x14ac:dyDescent="0.3">
      <c r="A7" s="243" t="s">
        <v>27</v>
      </c>
      <c r="B7" s="244"/>
      <c r="C7" s="244"/>
      <c r="D7" s="244"/>
      <c r="E7" s="244"/>
      <c r="F7" s="244"/>
      <c r="G7" s="244"/>
      <c r="H7" s="244"/>
      <c r="I7" s="244"/>
      <c r="J7" s="244"/>
      <c r="K7" s="244"/>
      <c r="L7" s="244"/>
      <c r="M7" s="244"/>
      <c r="N7" s="244"/>
      <c r="O7" s="244"/>
      <c r="P7" s="245"/>
      <c r="Q7" s="105"/>
    </row>
    <row r="8" spans="1:17" ht="15.75" customHeight="1" thickBot="1" x14ac:dyDescent="0.3">
      <c r="A8" s="246" t="s">
        <v>28</v>
      </c>
      <c r="B8" s="262" t="s">
        <v>29</v>
      </c>
      <c r="C8" s="263"/>
      <c r="D8" s="249" t="s">
        <v>30</v>
      </c>
      <c r="E8" s="252" t="s">
        <v>31</v>
      </c>
      <c r="F8" s="41" t="s">
        <v>32</v>
      </c>
      <c r="G8" s="42" t="s">
        <v>32</v>
      </c>
      <c r="H8" s="42" t="s">
        <v>32</v>
      </c>
      <c r="I8" s="238" t="s">
        <v>32</v>
      </c>
      <c r="J8" s="238"/>
      <c r="K8" s="238" t="s">
        <v>33</v>
      </c>
      <c r="L8" s="238"/>
      <c r="M8" s="42" t="s">
        <v>34</v>
      </c>
      <c r="N8" s="42" t="s">
        <v>34</v>
      </c>
      <c r="O8" s="43" t="s">
        <v>34</v>
      </c>
      <c r="P8" s="106" t="s">
        <v>35</v>
      </c>
      <c r="Q8" s="107"/>
    </row>
    <row r="9" spans="1:17" s="44" customFormat="1" ht="13.9" customHeight="1" x14ac:dyDescent="0.25">
      <c r="A9" s="247"/>
      <c r="B9" s="264" t="s">
        <v>36</v>
      </c>
      <c r="C9" s="266" t="s">
        <v>37</v>
      </c>
      <c r="D9" s="250"/>
      <c r="E9" s="253"/>
      <c r="F9" s="255" t="s">
        <v>38</v>
      </c>
      <c r="G9" s="257" t="s">
        <v>39</v>
      </c>
      <c r="H9" s="257" t="s">
        <v>40</v>
      </c>
      <c r="I9" s="239" t="s">
        <v>41</v>
      </c>
      <c r="J9" s="240"/>
      <c r="K9" s="239" t="s">
        <v>42</v>
      </c>
      <c r="L9" s="240"/>
      <c r="M9" s="259" t="s">
        <v>43</v>
      </c>
      <c r="N9" s="259" t="s">
        <v>44</v>
      </c>
      <c r="O9" s="268" t="s">
        <v>45</v>
      </c>
      <c r="P9" s="270" t="s">
        <v>46</v>
      </c>
      <c r="Q9" s="108"/>
    </row>
    <row r="10" spans="1:17" s="44" customFormat="1" ht="32.25" customHeight="1" x14ac:dyDescent="0.25">
      <c r="A10" s="248"/>
      <c r="B10" s="265"/>
      <c r="C10" s="267"/>
      <c r="D10" s="251"/>
      <c r="E10" s="254"/>
      <c r="F10" s="256"/>
      <c r="G10" s="258"/>
      <c r="H10" s="258"/>
      <c r="I10" s="109" t="s">
        <v>47</v>
      </c>
      <c r="J10" s="109" t="s">
        <v>48</v>
      </c>
      <c r="K10" s="109" t="s">
        <v>49</v>
      </c>
      <c r="L10" s="109" t="s">
        <v>50</v>
      </c>
      <c r="M10" s="260"/>
      <c r="N10" s="260"/>
      <c r="O10" s="269"/>
      <c r="P10" s="271"/>
      <c r="Q10" s="110"/>
    </row>
    <row r="11" spans="1:17" x14ac:dyDescent="0.2">
      <c r="A11" s="111" t="s">
        <v>51</v>
      </c>
      <c r="B11" s="112">
        <v>15.19</v>
      </c>
      <c r="C11" s="113">
        <f>B11*2080</f>
        <v>31595.200000000001</v>
      </c>
      <c r="D11" s="59">
        <f>D19*1.1</f>
        <v>27.380833333333339</v>
      </c>
      <c r="E11" s="114">
        <f>D11*40*52</f>
        <v>56952.133333333346</v>
      </c>
      <c r="F11" s="115">
        <f t="shared" ref="F11:H12" si="0">F12*1.25</f>
        <v>21.877443593994144</v>
      </c>
      <c r="G11" s="115">
        <f t="shared" si="0"/>
        <v>21.877443593994144</v>
      </c>
      <c r="H11" s="115">
        <f t="shared" si="0"/>
        <v>21.877443593994144</v>
      </c>
      <c r="I11" s="60">
        <f t="shared" ref="I11:I13" si="1">D11</f>
        <v>27.380833333333339</v>
      </c>
      <c r="J11" s="116">
        <f>I11*1.05</f>
        <v>28.749875000000007</v>
      </c>
      <c r="K11" s="60">
        <f>I11*1.1</f>
        <v>30.118916666666674</v>
      </c>
      <c r="L11" s="60">
        <f>K11*1.05</f>
        <v>31.62486250000001</v>
      </c>
      <c r="M11" s="60">
        <f>K11*1.1</f>
        <v>33.130808333333341</v>
      </c>
      <c r="N11" s="60">
        <f t="shared" ref="N11:O13" si="2">M11*1.1</f>
        <v>36.443889166666679</v>
      </c>
      <c r="O11" s="117">
        <f t="shared" si="2"/>
        <v>40.08827808333335</v>
      </c>
      <c r="P11" s="118" t="s">
        <v>372</v>
      </c>
    </row>
    <row r="12" spans="1:17" x14ac:dyDescent="0.2">
      <c r="A12" s="111" t="s">
        <v>52</v>
      </c>
      <c r="B12" s="112">
        <v>13.49</v>
      </c>
      <c r="C12" s="113">
        <f t="shared" ref="C12:C15" si="3">B12*2080</f>
        <v>28059.200000000001</v>
      </c>
      <c r="D12" s="59">
        <f>D11-(D11*0.25)</f>
        <v>20.535625000000003</v>
      </c>
      <c r="E12" s="114">
        <f t="shared" ref="E12:E13" si="4">D12*40*52</f>
        <v>42714.100000000006</v>
      </c>
      <c r="F12" s="59">
        <f t="shared" si="0"/>
        <v>17.501954875195317</v>
      </c>
      <c r="G12" s="59">
        <f t="shared" si="0"/>
        <v>17.501954875195317</v>
      </c>
      <c r="H12" s="59">
        <f t="shared" si="0"/>
        <v>17.501954875195317</v>
      </c>
      <c r="I12" s="60">
        <f t="shared" si="1"/>
        <v>20.535625000000003</v>
      </c>
      <c r="J12" s="116">
        <f t="shared" ref="J12:L13" si="5">I12*1.05</f>
        <v>21.562406250000006</v>
      </c>
      <c r="K12" s="60">
        <f>I12*1.1</f>
        <v>22.589187500000005</v>
      </c>
      <c r="L12" s="60">
        <f t="shared" si="5"/>
        <v>23.718646875000005</v>
      </c>
      <c r="M12" s="60">
        <f>K12*1.1</f>
        <v>24.848106250000008</v>
      </c>
      <c r="N12" s="60">
        <f t="shared" si="2"/>
        <v>27.332916875000009</v>
      </c>
      <c r="O12" s="117">
        <f t="shared" si="2"/>
        <v>30.066208562500012</v>
      </c>
      <c r="P12" s="119" t="s">
        <v>53</v>
      </c>
      <c r="Q12" s="120"/>
    </row>
    <row r="13" spans="1:17" x14ac:dyDescent="0.2">
      <c r="A13" s="111" t="s">
        <v>54</v>
      </c>
      <c r="B13" s="112">
        <v>12.88</v>
      </c>
      <c r="C13" s="113">
        <f t="shared" si="3"/>
        <v>26790.400000000001</v>
      </c>
      <c r="D13" s="59">
        <f>D12-(D12*0.25)</f>
        <v>15.401718750000002</v>
      </c>
      <c r="E13" s="114">
        <f t="shared" si="4"/>
        <v>32035.575000000008</v>
      </c>
      <c r="F13" s="59">
        <f>F21*1.1</f>
        <v>14.001563900156253</v>
      </c>
      <c r="G13" s="59">
        <f>G21*1.1</f>
        <v>14.001563900156253</v>
      </c>
      <c r="H13" s="59">
        <f>H21*1.1</f>
        <v>14.001563900156253</v>
      </c>
      <c r="I13" s="60">
        <f t="shared" si="1"/>
        <v>15.401718750000002</v>
      </c>
      <c r="J13" s="116">
        <f t="shared" si="5"/>
        <v>16.171804687500003</v>
      </c>
      <c r="K13" s="60">
        <f>I13*1.1</f>
        <v>16.941890625000003</v>
      </c>
      <c r="L13" s="60">
        <f t="shared" si="5"/>
        <v>17.788985156250003</v>
      </c>
      <c r="M13" s="60">
        <f>K13*1.1</f>
        <v>18.636079687500004</v>
      </c>
      <c r="N13" s="60">
        <f t="shared" si="2"/>
        <v>20.499687656250007</v>
      </c>
      <c r="O13" s="117">
        <f>N13*1.1</f>
        <v>22.54965642187501</v>
      </c>
      <c r="P13" s="119" t="s">
        <v>55</v>
      </c>
      <c r="Q13" s="121"/>
    </row>
    <row r="14" spans="1:17" ht="28.5" x14ac:dyDescent="0.2">
      <c r="A14" s="111" t="s">
        <v>56</v>
      </c>
      <c r="B14" s="112">
        <v>13.67</v>
      </c>
      <c r="C14" s="113">
        <f t="shared" si="3"/>
        <v>28433.599999999999</v>
      </c>
      <c r="D14" s="59">
        <f>D12</f>
        <v>20.535625000000003</v>
      </c>
      <c r="E14" s="114">
        <f>E12</f>
        <v>42714.100000000006</v>
      </c>
      <c r="F14" s="59">
        <f t="shared" ref="F14:M14" si="6">F12</f>
        <v>17.501954875195317</v>
      </c>
      <c r="G14" s="60">
        <f t="shared" si="6"/>
        <v>17.501954875195317</v>
      </c>
      <c r="H14" s="60">
        <f t="shared" si="6"/>
        <v>17.501954875195317</v>
      </c>
      <c r="I14" s="60">
        <f t="shared" si="6"/>
        <v>20.535625000000003</v>
      </c>
      <c r="J14" s="116">
        <f t="shared" si="6"/>
        <v>21.562406250000006</v>
      </c>
      <c r="K14" s="60">
        <f t="shared" si="6"/>
        <v>22.589187500000005</v>
      </c>
      <c r="L14" s="60">
        <f t="shared" ref="L14" si="7">L12</f>
        <v>23.718646875000005</v>
      </c>
      <c r="M14" s="60">
        <f t="shared" si="6"/>
        <v>24.848106250000008</v>
      </c>
      <c r="N14" s="122" t="s">
        <v>57</v>
      </c>
      <c r="O14" s="123" t="s">
        <v>57</v>
      </c>
      <c r="P14" s="119" t="s">
        <v>58</v>
      </c>
      <c r="Q14" s="120"/>
    </row>
    <row r="15" spans="1:17" ht="15" thickBot="1" x14ac:dyDescent="0.25">
      <c r="A15" s="124"/>
      <c r="B15" s="125">
        <v>3</v>
      </c>
      <c r="C15" s="126">
        <f t="shared" si="3"/>
        <v>6240</v>
      </c>
      <c r="D15" s="127"/>
      <c r="E15" s="128"/>
      <c r="F15" s="129"/>
      <c r="G15" s="130"/>
      <c r="H15" s="130"/>
      <c r="I15" s="130"/>
      <c r="J15" s="130"/>
      <c r="K15" s="130"/>
      <c r="L15" s="130"/>
      <c r="M15" s="130"/>
      <c r="N15" s="131"/>
      <c r="O15" s="131"/>
      <c r="P15" s="132"/>
      <c r="Q15" s="120"/>
    </row>
    <row r="16" spans="1:17" ht="15.75" customHeight="1" thickBot="1" x14ac:dyDescent="0.3">
      <c r="A16" s="246" t="s">
        <v>28</v>
      </c>
      <c r="B16" s="262" t="s">
        <v>29</v>
      </c>
      <c r="C16" s="263"/>
      <c r="D16" s="249" t="s">
        <v>30</v>
      </c>
      <c r="E16" s="252" t="s">
        <v>31</v>
      </c>
      <c r="F16" s="133" t="s">
        <v>32</v>
      </c>
      <c r="G16" s="134" t="s">
        <v>32</v>
      </c>
      <c r="H16" s="134" t="s">
        <v>32</v>
      </c>
      <c r="I16" s="241" t="s">
        <v>32</v>
      </c>
      <c r="J16" s="241"/>
      <c r="K16" s="241" t="s">
        <v>33</v>
      </c>
      <c r="L16" s="241"/>
      <c r="M16" s="134" t="s">
        <v>34</v>
      </c>
      <c r="N16" s="134" t="s">
        <v>34</v>
      </c>
      <c r="O16" s="206" t="s">
        <v>34</v>
      </c>
      <c r="P16" s="106" t="s">
        <v>35</v>
      </c>
      <c r="Q16" s="107"/>
    </row>
    <row r="17" spans="1:17" s="44" customFormat="1" ht="13.9" customHeight="1" x14ac:dyDescent="0.25">
      <c r="A17" s="247"/>
      <c r="B17" s="264" t="s">
        <v>36</v>
      </c>
      <c r="C17" s="266" t="s">
        <v>37</v>
      </c>
      <c r="D17" s="250"/>
      <c r="E17" s="253"/>
      <c r="F17" s="255" t="s">
        <v>38</v>
      </c>
      <c r="G17" s="257" t="s">
        <v>39</v>
      </c>
      <c r="H17" s="257" t="s">
        <v>40</v>
      </c>
      <c r="I17" s="239" t="s">
        <v>41</v>
      </c>
      <c r="J17" s="240"/>
      <c r="K17" s="239" t="s">
        <v>42</v>
      </c>
      <c r="L17" s="240"/>
      <c r="M17" s="259" t="s">
        <v>43</v>
      </c>
      <c r="N17" s="259" t="s">
        <v>44</v>
      </c>
      <c r="O17" s="268" t="s">
        <v>45</v>
      </c>
      <c r="P17" s="270" t="s">
        <v>59</v>
      </c>
      <c r="Q17" s="135"/>
    </row>
    <row r="18" spans="1:17" s="44" customFormat="1" ht="30" customHeight="1" x14ac:dyDescent="0.25">
      <c r="A18" s="248"/>
      <c r="B18" s="265"/>
      <c r="C18" s="267"/>
      <c r="D18" s="251"/>
      <c r="E18" s="254"/>
      <c r="F18" s="256"/>
      <c r="G18" s="258"/>
      <c r="H18" s="258"/>
      <c r="I18" s="109" t="s">
        <v>47</v>
      </c>
      <c r="J18" s="109" t="s">
        <v>48</v>
      </c>
      <c r="K18" s="109" t="s">
        <v>49</v>
      </c>
      <c r="L18" s="109" t="s">
        <v>50</v>
      </c>
      <c r="M18" s="260"/>
      <c r="N18" s="260"/>
      <c r="O18" s="269"/>
      <c r="P18" s="271"/>
      <c r="Q18" s="135"/>
    </row>
    <row r="19" spans="1:17" x14ac:dyDescent="0.2">
      <c r="A19" s="111" t="s">
        <v>60</v>
      </c>
      <c r="B19" s="112">
        <f>B11</f>
        <v>15.19</v>
      </c>
      <c r="C19" s="113">
        <f>B19*2080</f>
        <v>31595.200000000001</v>
      </c>
      <c r="D19" s="136">
        <f>41818/40/42</f>
        <v>24.891666666666669</v>
      </c>
      <c r="E19" s="114">
        <f>D19*40*52</f>
        <v>51774.666666666672</v>
      </c>
      <c r="F19" s="115">
        <f>F20*1.25</f>
        <v>19.888585085449218</v>
      </c>
      <c r="G19" s="115">
        <f t="shared" ref="G19:H20" si="8">G20*1.25</f>
        <v>19.888585085449218</v>
      </c>
      <c r="H19" s="115">
        <f t="shared" si="8"/>
        <v>19.888585085449218</v>
      </c>
      <c r="I19" s="60">
        <f>D19</f>
        <v>24.891666666666669</v>
      </c>
      <c r="J19" s="116">
        <f>I19*1.05</f>
        <v>26.136250000000004</v>
      </c>
      <c r="K19" s="60">
        <f>I19*1.1</f>
        <v>27.380833333333339</v>
      </c>
      <c r="L19" s="60">
        <f>K19*1.05</f>
        <v>28.749875000000007</v>
      </c>
      <c r="M19" s="60">
        <f>K19*1.1</f>
        <v>30.118916666666674</v>
      </c>
      <c r="N19" s="60">
        <f t="shared" ref="N19:O21" si="9">M19*1.1</f>
        <v>33.130808333333341</v>
      </c>
      <c r="O19" s="117">
        <f>N19*1.1</f>
        <v>36.443889166666679</v>
      </c>
      <c r="P19" s="137" t="s">
        <v>61</v>
      </c>
      <c r="Q19" s="120"/>
    </row>
    <row r="20" spans="1:17" x14ac:dyDescent="0.2">
      <c r="A20" s="111" t="s">
        <v>62</v>
      </c>
      <c r="B20" s="112">
        <f>B12</f>
        <v>13.49</v>
      </c>
      <c r="C20" s="113">
        <f t="shared" ref="C20:C22" si="10">B20*2080</f>
        <v>28059.200000000001</v>
      </c>
      <c r="D20" s="59">
        <f>D19-(D19*0.25)</f>
        <v>18.668750000000003</v>
      </c>
      <c r="E20" s="114">
        <f>D20*40*52</f>
        <v>38831.000000000007</v>
      </c>
      <c r="F20" s="59">
        <f>F21*1.25</f>
        <v>15.910868068359376</v>
      </c>
      <c r="G20" s="59">
        <f t="shared" si="8"/>
        <v>15.910868068359376</v>
      </c>
      <c r="H20" s="59">
        <f t="shared" si="8"/>
        <v>15.910868068359376</v>
      </c>
      <c r="I20" s="60">
        <f>D20</f>
        <v>18.668750000000003</v>
      </c>
      <c r="J20" s="116">
        <f t="shared" ref="J20:J21" si="11">I20*1.05</f>
        <v>19.602187500000003</v>
      </c>
      <c r="K20" s="60">
        <f>I20*1.1</f>
        <v>20.535625000000003</v>
      </c>
      <c r="L20" s="60">
        <f t="shared" ref="L20:L21" si="12">K20*1.05</f>
        <v>21.562406250000006</v>
      </c>
      <c r="M20" s="60">
        <f t="shared" ref="M20:M21" si="13">K20*1.1</f>
        <v>22.589187500000005</v>
      </c>
      <c r="N20" s="60">
        <f t="shared" si="9"/>
        <v>24.848106250000008</v>
      </c>
      <c r="O20" s="117">
        <f t="shared" si="9"/>
        <v>27.332916875000009</v>
      </c>
      <c r="P20" s="119" t="s">
        <v>53</v>
      </c>
      <c r="Q20" s="120"/>
    </row>
    <row r="21" spans="1:17" x14ac:dyDescent="0.2">
      <c r="A21" s="111" t="s">
        <v>63</v>
      </c>
      <c r="B21" s="112">
        <f>B13</f>
        <v>12.88</v>
      </c>
      <c r="C21" s="113">
        <f t="shared" si="10"/>
        <v>26790.400000000001</v>
      </c>
      <c r="D21" s="59">
        <f>D20-(D20*0.25)</f>
        <v>14.001562500000002</v>
      </c>
      <c r="E21" s="114">
        <f>D21*40*52</f>
        <v>29123.250000000007</v>
      </c>
      <c r="F21" s="59">
        <f>H21</f>
        <v>12.728694454687501</v>
      </c>
      <c r="G21" s="60">
        <f>H21</f>
        <v>12.728694454687501</v>
      </c>
      <c r="H21" s="60">
        <f>0.909091*I21</f>
        <v>12.728694454687501</v>
      </c>
      <c r="I21" s="60">
        <f>D21</f>
        <v>14.001562500000002</v>
      </c>
      <c r="J21" s="116">
        <f t="shared" si="11"/>
        <v>14.701640625000003</v>
      </c>
      <c r="K21" s="60">
        <f>I21*1.1</f>
        <v>15.401718750000004</v>
      </c>
      <c r="L21" s="60">
        <f t="shared" si="12"/>
        <v>16.171804687500003</v>
      </c>
      <c r="M21" s="60">
        <f t="shared" si="13"/>
        <v>16.941890625000006</v>
      </c>
      <c r="N21" s="60">
        <f t="shared" si="9"/>
        <v>18.636079687500008</v>
      </c>
      <c r="O21" s="117">
        <f t="shared" si="9"/>
        <v>20.499687656250011</v>
      </c>
      <c r="P21" s="119" t="s">
        <v>64</v>
      </c>
      <c r="Q21" s="121"/>
    </row>
    <row r="22" spans="1:17" ht="28.5" x14ac:dyDescent="0.2">
      <c r="A22" s="111" t="s">
        <v>65</v>
      </c>
      <c r="B22" s="112">
        <f>B14</f>
        <v>13.67</v>
      </c>
      <c r="C22" s="113">
        <f t="shared" si="10"/>
        <v>28433.599999999999</v>
      </c>
      <c r="D22" s="59">
        <f>D20</f>
        <v>18.668750000000003</v>
      </c>
      <c r="E22" s="114">
        <f t="shared" ref="E22:M22" si="14">E20</f>
        <v>38831.000000000007</v>
      </c>
      <c r="F22" s="138">
        <f t="shared" si="14"/>
        <v>15.910868068359376</v>
      </c>
      <c r="G22" s="60">
        <f t="shared" si="14"/>
        <v>15.910868068359376</v>
      </c>
      <c r="H22" s="60">
        <f t="shared" si="14"/>
        <v>15.910868068359376</v>
      </c>
      <c r="I22" s="60">
        <f t="shared" si="14"/>
        <v>18.668750000000003</v>
      </c>
      <c r="J22" s="116">
        <f t="shared" si="14"/>
        <v>19.602187500000003</v>
      </c>
      <c r="K22" s="60">
        <f t="shared" si="14"/>
        <v>20.535625000000003</v>
      </c>
      <c r="L22" s="60">
        <f t="shared" si="14"/>
        <v>21.562406250000006</v>
      </c>
      <c r="M22" s="60">
        <f t="shared" si="14"/>
        <v>22.589187500000005</v>
      </c>
      <c r="N22" s="122" t="s">
        <v>57</v>
      </c>
      <c r="O22" s="123" t="s">
        <v>57</v>
      </c>
      <c r="P22" s="119" t="s">
        <v>58</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K8:L8"/>
    <mergeCell ref="K9:L9"/>
    <mergeCell ref="K16:L16"/>
    <mergeCell ref="K17:L17"/>
    <mergeCell ref="I17:J17"/>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A23" zoomScaleNormal="100" workbookViewId="0">
      <selection activeCell="D13" sqref="D1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7.5703125" style="10" bestFit="1" customWidth="1"/>
    <col min="17" max="17" width="7.5703125" bestFit="1" customWidth="1"/>
    <col min="18"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2" t="s">
        <v>268</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4" spans="1:26" ht="18.75" x14ac:dyDescent="0.3">
      <c r="A4" s="321" t="s">
        <v>269</v>
      </c>
      <c r="B4" s="321"/>
      <c r="C4" s="321"/>
      <c r="D4" s="321"/>
      <c r="E4" s="321"/>
      <c r="F4" s="321"/>
      <c r="G4" s="321"/>
      <c r="H4" s="321"/>
    </row>
    <row r="5" spans="1:26" ht="36" customHeight="1" x14ac:dyDescent="0.25">
      <c r="A5" s="319" t="s">
        <v>186</v>
      </c>
      <c r="B5" s="320" t="s">
        <v>187</v>
      </c>
      <c r="C5" s="320" t="s">
        <v>188</v>
      </c>
      <c r="D5" s="320" t="s">
        <v>270</v>
      </c>
      <c r="E5" s="320" t="s">
        <v>190</v>
      </c>
      <c r="F5" s="320"/>
      <c r="G5" s="320" t="s">
        <v>191</v>
      </c>
      <c r="H5" s="320"/>
      <c r="P5"/>
      <c r="R5" s="10"/>
    </row>
    <row r="6" spans="1:26" ht="15.75" thickBot="1" x14ac:dyDescent="0.3">
      <c r="A6" s="319"/>
      <c r="B6" s="320"/>
      <c r="C6" s="320"/>
      <c r="D6" s="322"/>
      <c r="E6" s="163" t="s">
        <v>192</v>
      </c>
      <c r="F6" s="163" t="s">
        <v>193</v>
      </c>
      <c r="G6" s="163" t="s">
        <v>192</v>
      </c>
      <c r="H6" s="163" t="s">
        <v>193</v>
      </c>
      <c r="P6"/>
      <c r="R6" s="10"/>
    </row>
    <row r="7" spans="1:26" ht="15.75" thickBot="1" x14ac:dyDescent="0.3">
      <c r="A7" s="195" t="s">
        <v>271</v>
      </c>
      <c r="B7" s="196">
        <v>1</v>
      </c>
      <c r="C7" s="197">
        <f>'1A'!B13</f>
        <v>12.88</v>
      </c>
      <c r="D7" s="198" t="s">
        <v>57</v>
      </c>
      <c r="E7" s="199">
        <f t="shared" ref="E7:E12" si="0">W19-B19</f>
        <v>0</v>
      </c>
      <c r="F7" s="200">
        <f t="shared" ref="F7:F12" si="1">W29</f>
        <v>0</v>
      </c>
      <c r="G7" s="201">
        <f t="shared" ref="G7:G12" si="2">S38-B38</f>
        <v>4.6400000000000006</v>
      </c>
      <c r="H7" s="202">
        <f t="shared" ref="H7:H12" si="3">S48</f>
        <v>0.56310679611650494</v>
      </c>
      <c r="P7"/>
      <c r="R7" s="10"/>
    </row>
    <row r="8" spans="1:26" ht="15.75" thickTop="1" x14ac:dyDescent="0.25">
      <c r="A8" s="178" t="s">
        <v>272</v>
      </c>
      <c r="B8" s="172">
        <v>0.97</v>
      </c>
      <c r="C8" s="185">
        <f>S39</f>
        <v>13.53</v>
      </c>
      <c r="D8" s="187">
        <f>C8-C7</f>
        <v>0.64999999999999858</v>
      </c>
      <c r="E8" s="174">
        <f t="shared" si="0"/>
        <v>764</v>
      </c>
      <c r="F8" s="173">
        <f t="shared" si="1"/>
        <v>1.1523378582202111</v>
      </c>
      <c r="G8" s="176">
        <f t="shared" si="2"/>
        <v>4.75</v>
      </c>
      <c r="H8" s="177">
        <f t="shared" si="3"/>
        <v>0.54100227790432809</v>
      </c>
      <c r="P8"/>
      <c r="R8" s="10"/>
    </row>
    <row r="9" spans="1:26" x14ac:dyDescent="0.25">
      <c r="A9" s="178" t="s">
        <v>273</v>
      </c>
      <c r="B9" s="164">
        <v>0.95</v>
      </c>
      <c r="C9" s="185">
        <f t="shared" ref="C9:C12" si="4">S40</f>
        <v>12.3</v>
      </c>
      <c r="D9" s="187">
        <f>C9-C7</f>
        <v>-0.58000000000000007</v>
      </c>
      <c r="E9" s="174">
        <f t="shared" si="0"/>
        <v>-47</v>
      </c>
      <c r="F9" s="173">
        <f t="shared" si="1"/>
        <v>-0.5662650602409639</v>
      </c>
      <c r="G9" s="175">
        <f t="shared" si="2"/>
        <v>1.6600000000000001</v>
      </c>
      <c r="H9" s="177">
        <f t="shared" si="3"/>
        <v>0.15601503759398497</v>
      </c>
      <c r="P9"/>
      <c r="R9" s="10"/>
    </row>
    <row r="10" spans="1:26" x14ac:dyDescent="0.25">
      <c r="A10" s="178" t="s">
        <v>274</v>
      </c>
      <c r="B10" s="164">
        <v>0.95</v>
      </c>
      <c r="C10" s="185">
        <f t="shared" si="4"/>
        <v>14.09</v>
      </c>
      <c r="D10" s="187">
        <f>C10-C7</f>
        <v>1.2099999999999991</v>
      </c>
      <c r="E10" s="174">
        <f t="shared" si="0"/>
        <v>25</v>
      </c>
      <c r="F10" s="173">
        <f t="shared" si="1"/>
        <v>1.7580872011251757E-2</v>
      </c>
      <c r="G10" s="175">
        <f t="shared" si="2"/>
        <v>7.63</v>
      </c>
      <c r="H10" s="177">
        <f t="shared" si="3"/>
        <v>1.1811145510835914</v>
      </c>
      <c r="P10"/>
      <c r="R10" s="10"/>
    </row>
    <row r="11" spans="1:26" x14ac:dyDescent="0.25">
      <c r="A11" s="178" t="s">
        <v>275</v>
      </c>
      <c r="B11" s="164">
        <v>0.95</v>
      </c>
      <c r="C11" s="185">
        <f t="shared" si="4"/>
        <v>15.2</v>
      </c>
      <c r="D11" s="187">
        <f>C11-C7</f>
        <v>2.3199999999999985</v>
      </c>
      <c r="E11" s="174">
        <f t="shared" si="0"/>
        <v>-110</v>
      </c>
      <c r="F11" s="173">
        <f t="shared" si="1"/>
        <v>-0.82089552238805974</v>
      </c>
      <c r="G11" s="175">
        <f t="shared" si="2"/>
        <v>4.7199999999999989</v>
      </c>
      <c r="H11" s="177">
        <f t="shared" si="3"/>
        <v>0.45038167938931284</v>
      </c>
      <c r="P11"/>
      <c r="R11" s="10"/>
    </row>
    <row r="12" spans="1:26" ht="15.75" thickBot="1" x14ac:dyDescent="0.3">
      <c r="A12" s="179" t="s">
        <v>197</v>
      </c>
      <c r="B12" s="180">
        <v>0.94</v>
      </c>
      <c r="C12" s="186">
        <f t="shared" si="4"/>
        <v>16.95</v>
      </c>
      <c r="D12" s="188">
        <f>C12-C7</f>
        <v>4.0699999999999985</v>
      </c>
      <c r="E12" s="181">
        <f t="shared" si="0"/>
        <v>-273</v>
      </c>
      <c r="F12" s="182">
        <f t="shared" si="1"/>
        <v>-0.49012567324955114</v>
      </c>
      <c r="G12" s="183">
        <f t="shared" si="2"/>
        <v>6.51</v>
      </c>
      <c r="H12" s="184">
        <f t="shared" si="3"/>
        <v>0.62356321839080464</v>
      </c>
      <c r="P12"/>
      <c r="R12" s="10"/>
    </row>
    <row r="13" spans="1:26" x14ac:dyDescent="0.25">
      <c r="A13" s="1"/>
      <c r="B13" s="35"/>
      <c r="C13" s="36"/>
      <c r="D13" s="36"/>
    </row>
    <row r="17" spans="1:26" ht="15.75" x14ac:dyDescent="0.25">
      <c r="A17" s="318" t="s">
        <v>351</v>
      </c>
      <c r="B17" s="318"/>
      <c r="C17" s="318"/>
      <c r="D17" s="318"/>
      <c r="E17" s="318"/>
      <c r="F17" s="318"/>
      <c r="G17" s="318"/>
      <c r="H17" s="318"/>
      <c r="I17" s="318"/>
      <c r="J17" s="318"/>
      <c r="K17" s="318"/>
      <c r="L17" s="318"/>
      <c r="M17" s="318"/>
      <c r="N17" s="318"/>
      <c r="O17" s="318"/>
      <c r="P17" s="318"/>
      <c r="Q17" s="318"/>
      <c r="R17" s="318"/>
      <c r="S17" s="318"/>
      <c r="T17" s="318"/>
      <c r="U17" s="318"/>
      <c r="V17" s="318"/>
      <c r="W17" s="318"/>
    </row>
    <row r="18" spans="1:26" x14ac:dyDescent="0.25">
      <c r="A18" s="189" t="s">
        <v>186</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271</v>
      </c>
      <c r="B19" s="166">
        <v>315</v>
      </c>
      <c r="C19" s="166">
        <v>314</v>
      </c>
      <c r="D19" s="166">
        <v>289</v>
      </c>
      <c r="E19" s="166">
        <v>296</v>
      </c>
      <c r="F19" s="166">
        <v>304</v>
      </c>
      <c r="G19" s="166">
        <v>307</v>
      </c>
      <c r="H19" s="166">
        <v>298</v>
      </c>
      <c r="I19" s="166">
        <v>309</v>
      </c>
      <c r="J19" s="166">
        <v>304</v>
      </c>
      <c r="K19" s="166">
        <v>307</v>
      </c>
      <c r="L19" s="166">
        <v>314</v>
      </c>
      <c r="M19" s="166">
        <v>366</v>
      </c>
      <c r="N19" s="166">
        <v>365</v>
      </c>
      <c r="O19" s="166">
        <v>344</v>
      </c>
      <c r="P19" s="166">
        <v>358</v>
      </c>
      <c r="Q19" s="166">
        <v>361</v>
      </c>
      <c r="R19" s="166">
        <v>369</v>
      </c>
      <c r="S19" s="166">
        <v>359</v>
      </c>
      <c r="T19" s="166">
        <v>356</v>
      </c>
      <c r="U19" s="166">
        <v>297</v>
      </c>
      <c r="V19" s="166">
        <v>313</v>
      </c>
      <c r="W19" s="166">
        <v>315</v>
      </c>
    </row>
    <row r="20" spans="1:26" ht="15.75" thickTop="1" x14ac:dyDescent="0.25">
      <c r="A20" s="143" t="s">
        <v>272</v>
      </c>
      <c r="B20" s="144">
        <v>663</v>
      </c>
      <c r="C20" s="144">
        <v>762</v>
      </c>
      <c r="D20" s="144">
        <v>848</v>
      </c>
      <c r="E20" s="144">
        <v>916</v>
      </c>
      <c r="F20" s="144">
        <v>1053</v>
      </c>
      <c r="G20" s="144">
        <v>1051</v>
      </c>
      <c r="H20" s="144">
        <v>1223</v>
      </c>
      <c r="I20" s="144">
        <v>1075</v>
      </c>
      <c r="J20" s="144">
        <v>993</v>
      </c>
      <c r="K20" s="144">
        <v>949</v>
      </c>
      <c r="L20" s="144">
        <v>1115</v>
      </c>
      <c r="M20" s="144">
        <v>1160</v>
      </c>
      <c r="N20" s="144">
        <v>1272</v>
      </c>
      <c r="O20" s="144">
        <v>1333</v>
      </c>
      <c r="P20" s="144">
        <v>1279</v>
      </c>
      <c r="Q20" s="144">
        <v>1323</v>
      </c>
      <c r="R20" s="144">
        <v>1371</v>
      </c>
      <c r="S20" s="144">
        <v>1406</v>
      </c>
      <c r="T20" s="144">
        <v>1376</v>
      </c>
      <c r="U20" s="144">
        <v>1431</v>
      </c>
      <c r="V20" s="144">
        <v>1460</v>
      </c>
      <c r="W20" s="144">
        <v>1427</v>
      </c>
    </row>
    <row r="21" spans="1:26" x14ac:dyDescent="0.25">
      <c r="A21" s="143" t="s">
        <v>273</v>
      </c>
      <c r="B21" s="144">
        <v>83</v>
      </c>
      <c r="C21" s="144">
        <v>82</v>
      </c>
      <c r="D21" s="144">
        <v>81</v>
      </c>
      <c r="E21" s="144">
        <v>81</v>
      </c>
      <c r="F21" s="144">
        <v>81</v>
      </c>
      <c r="G21" s="144">
        <v>79</v>
      </c>
      <c r="H21" s="144">
        <v>86</v>
      </c>
      <c r="I21" s="144">
        <v>92</v>
      </c>
      <c r="J21" s="144">
        <v>95</v>
      </c>
      <c r="K21" s="144">
        <v>93</v>
      </c>
      <c r="L21" s="144">
        <v>99</v>
      </c>
      <c r="M21" s="144">
        <v>104</v>
      </c>
      <c r="N21" s="144">
        <v>103</v>
      </c>
      <c r="O21" s="144">
        <v>107</v>
      </c>
      <c r="P21" s="144">
        <v>108</v>
      </c>
      <c r="Q21" s="144">
        <v>109</v>
      </c>
      <c r="R21" s="144">
        <v>91</v>
      </c>
      <c r="S21" s="144">
        <v>80</v>
      </c>
      <c r="T21" s="144">
        <v>73</v>
      </c>
      <c r="U21" s="144">
        <v>73</v>
      </c>
      <c r="V21" s="144">
        <v>69</v>
      </c>
      <c r="W21" s="144">
        <v>36</v>
      </c>
    </row>
    <row r="22" spans="1:26" x14ac:dyDescent="0.25">
      <c r="A22" s="143" t="s">
        <v>274</v>
      </c>
      <c r="B22" s="144">
        <v>1422</v>
      </c>
      <c r="C22" s="144">
        <v>1437</v>
      </c>
      <c r="D22" s="144">
        <v>1411</v>
      </c>
      <c r="E22" s="144">
        <v>1433</v>
      </c>
      <c r="F22" s="144">
        <v>1451</v>
      </c>
      <c r="G22" s="144">
        <v>1417</v>
      </c>
      <c r="H22" s="144">
        <v>1408</v>
      </c>
      <c r="I22" s="144">
        <v>1376</v>
      </c>
      <c r="J22" s="144">
        <v>1305</v>
      </c>
      <c r="K22" s="144">
        <v>1274</v>
      </c>
      <c r="L22" s="144">
        <v>1313</v>
      </c>
      <c r="M22" s="144">
        <v>1373</v>
      </c>
      <c r="N22" s="144">
        <v>1411</v>
      </c>
      <c r="O22" s="144">
        <v>1410</v>
      </c>
      <c r="P22" s="144">
        <v>1440</v>
      </c>
      <c r="Q22" s="144">
        <v>1527</v>
      </c>
      <c r="R22" s="144">
        <v>1548</v>
      </c>
      <c r="S22" s="144">
        <v>1561</v>
      </c>
      <c r="T22" s="144">
        <v>1586</v>
      </c>
      <c r="U22" s="144">
        <v>1182</v>
      </c>
      <c r="V22" s="144">
        <v>1254</v>
      </c>
      <c r="W22" s="144">
        <v>1447</v>
      </c>
    </row>
    <row r="23" spans="1:26" x14ac:dyDescent="0.25">
      <c r="A23" s="143" t="s">
        <v>275</v>
      </c>
      <c r="B23" s="146">
        <v>134</v>
      </c>
      <c r="C23" s="146">
        <v>131</v>
      </c>
      <c r="D23" s="146">
        <v>127</v>
      </c>
      <c r="E23" s="146">
        <v>126</v>
      </c>
      <c r="F23" s="146">
        <v>122</v>
      </c>
      <c r="G23" s="146">
        <v>91</v>
      </c>
      <c r="H23" s="146">
        <v>71</v>
      </c>
      <c r="I23" s="146">
        <v>47</v>
      </c>
      <c r="J23" s="146">
        <v>41</v>
      </c>
      <c r="K23" s="146">
        <v>42</v>
      </c>
      <c r="L23" s="146">
        <v>49</v>
      </c>
      <c r="M23" s="146">
        <v>44</v>
      </c>
      <c r="N23" s="146">
        <v>41</v>
      </c>
      <c r="O23" s="146">
        <v>37</v>
      </c>
      <c r="P23" s="146">
        <v>37</v>
      </c>
      <c r="Q23" s="146">
        <v>38</v>
      </c>
      <c r="R23" s="146">
        <v>38</v>
      </c>
      <c r="S23" s="146">
        <v>38</v>
      </c>
      <c r="T23" s="146">
        <v>36</v>
      </c>
      <c r="U23" s="146">
        <v>40</v>
      </c>
      <c r="V23" s="146">
        <v>16</v>
      </c>
      <c r="W23" s="146">
        <v>24</v>
      </c>
    </row>
    <row r="24" spans="1:26" x14ac:dyDescent="0.25">
      <c r="A24" s="143" t="s">
        <v>197</v>
      </c>
      <c r="B24" s="146">
        <v>557</v>
      </c>
      <c r="C24" s="146">
        <v>566</v>
      </c>
      <c r="D24" s="146">
        <v>569</v>
      </c>
      <c r="E24" s="146">
        <v>576</v>
      </c>
      <c r="F24" s="146">
        <v>573</v>
      </c>
      <c r="G24" s="146">
        <v>602</v>
      </c>
      <c r="H24" s="146">
        <v>582</v>
      </c>
      <c r="I24" s="146">
        <v>568</v>
      </c>
      <c r="J24" s="146">
        <v>526</v>
      </c>
      <c r="K24" s="146">
        <v>506</v>
      </c>
      <c r="L24" s="146">
        <v>489</v>
      </c>
      <c r="M24" s="146">
        <v>480</v>
      </c>
      <c r="N24" s="146">
        <v>472</v>
      </c>
      <c r="O24" s="146">
        <v>463</v>
      </c>
      <c r="P24" s="146">
        <v>460</v>
      </c>
      <c r="Q24" s="146">
        <v>482</v>
      </c>
      <c r="R24" s="146">
        <v>483</v>
      </c>
      <c r="S24" s="146">
        <v>473</v>
      </c>
      <c r="T24" s="146">
        <v>451</v>
      </c>
      <c r="U24" s="146">
        <v>371</v>
      </c>
      <c r="V24" s="146">
        <v>307</v>
      </c>
      <c r="W24" s="146">
        <v>284</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8" t="s">
        <v>352</v>
      </c>
      <c r="B27" s="318"/>
      <c r="C27" s="318"/>
      <c r="D27" s="318"/>
      <c r="E27" s="318"/>
      <c r="F27" s="318"/>
      <c r="G27" s="318"/>
      <c r="H27" s="318"/>
      <c r="I27" s="318"/>
      <c r="J27" s="318"/>
      <c r="K27" s="318"/>
      <c r="L27" s="318"/>
      <c r="M27" s="318"/>
      <c r="N27" s="318"/>
      <c r="O27" s="318"/>
      <c r="P27" s="318"/>
      <c r="Q27" s="318"/>
      <c r="R27" s="318"/>
      <c r="S27" s="318"/>
      <c r="T27" s="318"/>
      <c r="U27" s="318"/>
      <c r="V27" s="318"/>
      <c r="W27" s="318"/>
    </row>
    <row r="28" spans="1:26" x14ac:dyDescent="0.25">
      <c r="A28" s="189" t="s">
        <v>186</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271</v>
      </c>
      <c r="B29" s="167">
        <f t="shared" ref="B29:B34" si="5">(B19-B19)/B19</f>
        <v>0</v>
      </c>
      <c r="C29" s="167">
        <f t="shared" ref="C29:C34" si="6">(C19-B19)/B19</f>
        <v>-3.1746031746031746E-3</v>
      </c>
      <c r="D29" s="167">
        <f t="shared" ref="D29:D34" si="7">(D19-B19)/B19</f>
        <v>-8.2539682539682538E-2</v>
      </c>
      <c r="E29" s="167">
        <f t="shared" ref="E29:E34" si="8">(E19-B19)/B19</f>
        <v>-6.0317460317460318E-2</v>
      </c>
      <c r="F29" s="167">
        <f t="shared" ref="F29:F34" si="9">(F19-B19)/B19</f>
        <v>-3.4920634920634921E-2</v>
      </c>
      <c r="G29" s="167">
        <f t="shared" ref="G29:G34" si="10">(G19-B19)/B19</f>
        <v>-2.5396825396825397E-2</v>
      </c>
      <c r="H29" s="167">
        <f t="shared" ref="H29:H34" si="11">(H19-B19)/B19</f>
        <v>-5.3968253968253971E-2</v>
      </c>
      <c r="I29" s="167">
        <f t="shared" ref="I29:I34" si="12">(I19-B19)/B19</f>
        <v>-1.9047619047619049E-2</v>
      </c>
      <c r="J29" s="167">
        <f t="shared" ref="J29:J34" si="13">(J19-B19)/B19</f>
        <v>-3.4920634920634921E-2</v>
      </c>
      <c r="K29" s="167">
        <f t="shared" ref="K29:K34" si="14">(K19-B19)/B19</f>
        <v>-2.5396825396825397E-2</v>
      </c>
      <c r="L29" s="167">
        <f t="shared" ref="L29:L34" si="15">(L19-B19)/B19</f>
        <v>-3.1746031746031746E-3</v>
      </c>
      <c r="M29" s="167">
        <f t="shared" ref="M29:M34" si="16">(M19-B19)/B19</f>
        <v>0.16190476190476191</v>
      </c>
      <c r="N29" s="167">
        <f t="shared" ref="N29:N34" si="17">(N19-B19)/B19</f>
        <v>0.15873015873015872</v>
      </c>
      <c r="O29" s="167">
        <f t="shared" ref="O29:O34" si="18">(O19-B19)/B19</f>
        <v>9.2063492063492069E-2</v>
      </c>
      <c r="P29" s="167">
        <f t="shared" ref="P29:P34" si="19">(P19-B19)/B19</f>
        <v>0.13650793650793649</v>
      </c>
      <c r="Q29" s="167">
        <f t="shared" ref="Q29:Q34" si="20">(Q19-B19)/B19</f>
        <v>0.14603174603174604</v>
      </c>
      <c r="R29" s="167">
        <f t="shared" ref="R29:R34" si="21">(R19-B19)/B19</f>
        <v>0.17142857142857143</v>
      </c>
      <c r="S29" s="167">
        <f t="shared" ref="S29:S34" si="22">(S19-B19)/B19</f>
        <v>0.13968253968253969</v>
      </c>
      <c r="T29" s="167">
        <f t="shared" ref="T29:T34" si="23">(T19-B19)/B19</f>
        <v>0.13015873015873017</v>
      </c>
      <c r="U29" s="167">
        <f t="shared" ref="U29:U34" si="24">(U19-B19)/B19</f>
        <v>-5.7142857142857141E-2</v>
      </c>
      <c r="V29" s="167">
        <f t="shared" ref="V29:V34" si="25">(V19-B19)/B19</f>
        <v>-6.3492063492063492E-3</v>
      </c>
      <c r="W29" s="167">
        <f t="shared" ref="W29:W34" si="26">(W19-B19)/B19</f>
        <v>0</v>
      </c>
      <c r="Y29" t="s">
        <v>273</v>
      </c>
      <c r="Z29" s="214">
        <v>1.66</v>
      </c>
    </row>
    <row r="30" spans="1:26" ht="15.75" thickTop="1" x14ac:dyDescent="0.25">
      <c r="A30" s="143" t="s">
        <v>272</v>
      </c>
      <c r="B30" s="147">
        <f t="shared" si="5"/>
        <v>0</v>
      </c>
      <c r="C30" s="147">
        <f t="shared" si="6"/>
        <v>0.14932126696832579</v>
      </c>
      <c r="D30" s="147">
        <f t="shared" si="7"/>
        <v>0.27903469079939669</v>
      </c>
      <c r="E30" s="147">
        <f t="shared" si="8"/>
        <v>0.38159879336349922</v>
      </c>
      <c r="F30" s="147">
        <f t="shared" si="9"/>
        <v>0.58823529411764708</v>
      </c>
      <c r="G30" s="147">
        <f t="shared" si="10"/>
        <v>0.58521870286576172</v>
      </c>
      <c r="H30" s="147">
        <f t="shared" si="11"/>
        <v>0.84464555052790347</v>
      </c>
      <c r="I30" s="147">
        <f t="shared" si="12"/>
        <v>0.62141779788838614</v>
      </c>
      <c r="J30" s="147">
        <f t="shared" si="13"/>
        <v>0.49773755656108598</v>
      </c>
      <c r="K30" s="147">
        <f t="shared" si="14"/>
        <v>0.43137254901960786</v>
      </c>
      <c r="L30" s="147">
        <f t="shared" si="15"/>
        <v>0.68174962292609353</v>
      </c>
      <c r="M30" s="147">
        <f t="shared" si="16"/>
        <v>0.74962292609351433</v>
      </c>
      <c r="N30" s="147">
        <f t="shared" si="17"/>
        <v>0.91855203619909498</v>
      </c>
      <c r="O30" s="147">
        <f t="shared" si="18"/>
        <v>1.0105580693815988</v>
      </c>
      <c r="P30" s="147">
        <f t="shared" si="19"/>
        <v>0.92911010558069385</v>
      </c>
      <c r="Q30" s="147">
        <f t="shared" si="20"/>
        <v>0.99547511312217196</v>
      </c>
      <c r="R30" s="147">
        <f t="shared" si="21"/>
        <v>1.0678733031674208</v>
      </c>
      <c r="S30" s="147">
        <f t="shared" si="22"/>
        <v>1.1206636500754148</v>
      </c>
      <c r="T30" s="147">
        <f t="shared" si="23"/>
        <v>1.0754147812971342</v>
      </c>
      <c r="U30" s="147">
        <f t="shared" si="24"/>
        <v>1.158371040723982</v>
      </c>
      <c r="V30" s="147">
        <f t="shared" si="25"/>
        <v>1.2021116138763197</v>
      </c>
      <c r="W30" s="147">
        <f t="shared" si="26"/>
        <v>1.1523378582202111</v>
      </c>
      <c r="Y30" t="s">
        <v>272</v>
      </c>
      <c r="Z30" s="214">
        <v>4.5500000000000007</v>
      </c>
    </row>
    <row r="31" spans="1:26" x14ac:dyDescent="0.25">
      <c r="A31" s="143" t="s">
        <v>273</v>
      </c>
      <c r="B31" s="147">
        <f t="shared" si="5"/>
        <v>0</v>
      </c>
      <c r="C31" s="147">
        <f t="shared" si="6"/>
        <v>-1.2048192771084338E-2</v>
      </c>
      <c r="D31" s="147">
        <f t="shared" si="7"/>
        <v>-2.4096385542168676E-2</v>
      </c>
      <c r="E31" s="147">
        <f t="shared" si="8"/>
        <v>-2.4096385542168676E-2</v>
      </c>
      <c r="F31" s="147">
        <f t="shared" si="9"/>
        <v>-2.4096385542168676E-2</v>
      </c>
      <c r="G31" s="147">
        <f t="shared" si="10"/>
        <v>-4.8192771084337352E-2</v>
      </c>
      <c r="H31" s="147">
        <f t="shared" si="11"/>
        <v>3.614457831325301E-2</v>
      </c>
      <c r="I31" s="147">
        <f t="shared" si="12"/>
        <v>0.10843373493975904</v>
      </c>
      <c r="J31" s="147">
        <f t="shared" si="13"/>
        <v>0.14457831325301204</v>
      </c>
      <c r="K31" s="147">
        <f t="shared" si="14"/>
        <v>0.12048192771084337</v>
      </c>
      <c r="L31" s="147">
        <f t="shared" si="15"/>
        <v>0.19277108433734941</v>
      </c>
      <c r="M31" s="147">
        <f t="shared" si="16"/>
        <v>0.25301204819277107</v>
      </c>
      <c r="N31" s="147">
        <f t="shared" si="17"/>
        <v>0.24096385542168675</v>
      </c>
      <c r="O31" s="147">
        <f t="shared" si="18"/>
        <v>0.28915662650602408</v>
      </c>
      <c r="P31" s="147">
        <f t="shared" si="19"/>
        <v>0.30120481927710846</v>
      </c>
      <c r="Q31" s="147">
        <f t="shared" si="20"/>
        <v>0.31325301204819278</v>
      </c>
      <c r="R31" s="147">
        <f t="shared" si="21"/>
        <v>9.6385542168674704E-2</v>
      </c>
      <c r="S31" s="147">
        <f t="shared" si="22"/>
        <v>-3.614457831325301E-2</v>
      </c>
      <c r="T31" s="147">
        <f t="shared" si="23"/>
        <v>-0.12048192771084337</v>
      </c>
      <c r="U31" s="147">
        <f t="shared" si="24"/>
        <v>-0.12048192771084337</v>
      </c>
      <c r="V31" s="147">
        <f t="shared" si="25"/>
        <v>-0.16867469879518071</v>
      </c>
      <c r="W31" s="147">
        <f t="shared" si="26"/>
        <v>-0.5662650602409639</v>
      </c>
      <c r="Y31" t="s">
        <v>271</v>
      </c>
      <c r="Z31" s="214">
        <v>4.6399999999999997</v>
      </c>
    </row>
    <row r="32" spans="1:26" x14ac:dyDescent="0.25">
      <c r="A32" s="143" t="s">
        <v>274</v>
      </c>
      <c r="B32" s="147">
        <f t="shared" si="5"/>
        <v>0</v>
      </c>
      <c r="C32" s="147">
        <f t="shared" si="6"/>
        <v>1.0548523206751054E-2</v>
      </c>
      <c r="D32" s="147">
        <f t="shared" si="7"/>
        <v>-7.7355836849507739E-3</v>
      </c>
      <c r="E32" s="147">
        <f t="shared" si="8"/>
        <v>7.7355836849507739E-3</v>
      </c>
      <c r="F32" s="147">
        <f t="shared" si="9"/>
        <v>2.0393811533052038E-2</v>
      </c>
      <c r="G32" s="147">
        <f t="shared" si="10"/>
        <v>-3.5161744022503515E-3</v>
      </c>
      <c r="H32" s="147">
        <f t="shared" si="11"/>
        <v>-9.8452883263009851E-3</v>
      </c>
      <c r="I32" s="147">
        <f t="shared" si="12"/>
        <v>-3.2348804500703238E-2</v>
      </c>
      <c r="J32" s="147">
        <f t="shared" si="13"/>
        <v>-8.2278481012658222E-2</v>
      </c>
      <c r="K32" s="147">
        <f t="shared" si="14"/>
        <v>-0.10407876230661041</v>
      </c>
      <c r="L32" s="147">
        <f t="shared" si="15"/>
        <v>-7.6652601969057668E-2</v>
      </c>
      <c r="M32" s="147">
        <f t="shared" si="16"/>
        <v>-3.4458509142053444E-2</v>
      </c>
      <c r="N32" s="147">
        <f t="shared" si="17"/>
        <v>-7.7355836849507739E-3</v>
      </c>
      <c r="O32" s="147">
        <f t="shared" si="18"/>
        <v>-8.4388185654008432E-3</v>
      </c>
      <c r="P32" s="147">
        <f t="shared" si="19"/>
        <v>1.2658227848101266E-2</v>
      </c>
      <c r="Q32" s="147">
        <f t="shared" si="20"/>
        <v>7.3839662447257384E-2</v>
      </c>
      <c r="R32" s="147">
        <f t="shared" si="21"/>
        <v>8.8607594936708861E-2</v>
      </c>
      <c r="S32" s="147">
        <f t="shared" si="22"/>
        <v>9.774964838255977E-2</v>
      </c>
      <c r="T32" s="147">
        <f t="shared" si="23"/>
        <v>0.11533052039381153</v>
      </c>
      <c r="U32" s="147">
        <f t="shared" si="24"/>
        <v>-0.16877637130801687</v>
      </c>
      <c r="V32" s="147">
        <f t="shared" si="25"/>
        <v>-0.11814345991561181</v>
      </c>
      <c r="W32" s="147">
        <f t="shared" si="26"/>
        <v>1.7580872011251757E-2</v>
      </c>
      <c r="Y32" t="s">
        <v>275</v>
      </c>
      <c r="Z32" s="214">
        <v>4.72</v>
      </c>
    </row>
    <row r="33" spans="1:26" x14ac:dyDescent="0.25">
      <c r="A33" s="143" t="s">
        <v>275</v>
      </c>
      <c r="B33" s="147">
        <f t="shared" si="5"/>
        <v>0</v>
      </c>
      <c r="C33" s="147">
        <f t="shared" si="6"/>
        <v>-2.2388059701492536E-2</v>
      </c>
      <c r="D33" s="147">
        <f t="shared" si="7"/>
        <v>-5.2238805970149252E-2</v>
      </c>
      <c r="E33" s="147">
        <f t="shared" si="8"/>
        <v>-5.9701492537313432E-2</v>
      </c>
      <c r="F33" s="147">
        <f t="shared" si="9"/>
        <v>-8.9552238805970144E-2</v>
      </c>
      <c r="G33" s="147">
        <f t="shared" si="10"/>
        <v>-0.32089552238805968</v>
      </c>
      <c r="H33" s="147">
        <f t="shared" si="11"/>
        <v>-0.47014925373134331</v>
      </c>
      <c r="I33" s="147">
        <f t="shared" si="12"/>
        <v>-0.64925373134328357</v>
      </c>
      <c r="J33" s="147">
        <f t="shared" si="13"/>
        <v>-0.69402985074626866</v>
      </c>
      <c r="K33" s="147">
        <f t="shared" si="14"/>
        <v>-0.68656716417910446</v>
      </c>
      <c r="L33" s="147">
        <f t="shared" si="15"/>
        <v>-0.63432835820895528</v>
      </c>
      <c r="M33" s="147">
        <f t="shared" si="16"/>
        <v>-0.67164179104477617</v>
      </c>
      <c r="N33" s="147">
        <f t="shared" si="17"/>
        <v>-0.69402985074626866</v>
      </c>
      <c r="O33" s="147">
        <f t="shared" si="18"/>
        <v>-0.72388059701492535</v>
      </c>
      <c r="P33" s="147">
        <f t="shared" si="19"/>
        <v>-0.72388059701492535</v>
      </c>
      <c r="Q33" s="147">
        <f t="shared" si="20"/>
        <v>-0.71641791044776115</v>
      </c>
      <c r="R33" s="147">
        <f t="shared" si="21"/>
        <v>-0.71641791044776115</v>
      </c>
      <c r="S33" s="147">
        <f t="shared" si="22"/>
        <v>-0.71641791044776115</v>
      </c>
      <c r="T33" s="147">
        <f t="shared" si="23"/>
        <v>-0.73134328358208955</v>
      </c>
      <c r="U33" s="147">
        <f t="shared" si="24"/>
        <v>-0.70149253731343286</v>
      </c>
      <c r="V33" s="147">
        <f t="shared" si="25"/>
        <v>-0.88059701492537312</v>
      </c>
      <c r="W33" s="147">
        <f t="shared" si="26"/>
        <v>-0.82089552238805974</v>
      </c>
      <c r="Y33" t="s">
        <v>197</v>
      </c>
      <c r="Z33" s="214">
        <v>6.51</v>
      </c>
    </row>
    <row r="34" spans="1:26" x14ac:dyDescent="0.25">
      <c r="A34" s="143" t="s">
        <v>197</v>
      </c>
      <c r="B34" s="147">
        <f t="shared" si="5"/>
        <v>0</v>
      </c>
      <c r="C34" s="147">
        <f t="shared" si="6"/>
        <v>1.615798922800718E-2</v>
      </c>
      <c r="D34" s="147">
        <f t="shared" si="7"/>
        <v>2.1543985637342909E-2</v>
      </c>
      <c r="E34" s="147">
        <f t="shared" si="8"/>
        <v>3.4111310592459608E-2</v>
      </c>
      <c r="F34" s="147">
        <f t="shared" si="9"/>
        <v>2.8725314183123879E-2</v>
      </c>
      <c r="G34" s="147">
        <f t="shared" si="10"/>
        <v>8.0789946140035901E-2</v>
      </c>
      <c r="H34" s="147">
        <f t="shared" si="11"/>
        <v>4.4883303411131059E-2</v>
      </c>
      <c r="I34" s="147">
        <f t="shared" si="12"/>
        <v>1.9748653500897665E-2</v>
      </c>
      <c r="J34" s="147">
        <f t="shared" si="13"/>
        <v>-5.565529622980251E-2</v>
      </c>
      <c r="K34" s="147">
        <f t="shared" si="14"/>
        <v>-9.1561938958707359E-2</v>
      </c>
      <c r="L34" s="147">
        <f t="shared" si="15"/>
        <v>-0.12208258527827648</v>
      </c>
      <c r="M34" s="147">
        <f t="shared" si="16"/>
        <v>-0.13824057450628366</v>
      </c>
      <c r="N34" s="147">
        <f t="shared" si="17"/>
        <v>-0.15260323159784561</v>
      </c>
      <c r="O34" s="147">
        <f t="shared" si="18"/>
        <v>-0.16876122082585279</v>
      </c>
      <c r="P34" s="147">
        <f t="shared" si="19"/>
        <v>-0.1741472172351885</v>
      </c>
      <c r="Q34" s="147">
        <f t="shared" si="20"/>
        <v>-0.13464991023339318</v>
      </c>
      <c r="R34" s="147">
        <f t="shared" si="21"/>
        <v>-0.13285457809694792</v>
      </c>
      <c r="S34" s="147">
        <f t="shared" si="22"/>
        <v>-0.15080789946140036</v>
      </c>
      <c r="T34" s="147">
        <f t="shared" si="23"/>
        <v>-0.19030520646319568</v>
      </c>
      <c r="U34" s="147">
        <f t="shared" si="24"/>
        <v>-0.33393177737881508</v>
      </c>
      <c r="V34" s="147">
        <f t="shared" si="25"/>
        <v>-0.44883303411131059</v>
      </c>
      <c r="W34" s="147">
        <f t="shared" si="26"/>
        <v>-0.49012567324955114</v>
      </c>
      <c r="Y34" t="s">
        <v>274</v>
      </c>
      <c r="Z34" s="214">
        <v>7.63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8" t="s">
        <v>353</v>
      </c>
      <c r="B36" s="318"/>
      <c r="C36" s="318"/>
      <c r="D36" s="318"/>
      <c r="E36" s="318"/>
      <c r="F36" s="318"/>
      <c r="G36" s="318"/>
      <c r="H36" s="318"/>
      <c r="I36" s="318"/>
      <c r="J36" s="318"/>
      <c r="K36" s="318"/>
      <c r="L36" s="318"/>
      <c r="M36" s="318"/>
      <c r="N36" s="318"/>
      <c r="O36" s="318"/>
      <c r="P36" s="318"/>
      <c r="Q36" s="318"/>
      <c r="R36" s="318"/>
      <c r="S36" s="318"/>
    </row>
    <row r="37" spans="1:26" x14ac:dyDescent="0.25">
      <c r="A37" s="189" t="s">
        <v>186</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271</v>
      </c>
      <c r="B38" s="168">
        <v>8.24</v>
      </c>
      <c r="C38" s="168">
        <v>7.75</v>
      </c>
      <c r="D38" s="168">
        <v>8.34</v>
      </c>
      <c r="E38" s="168">
        <v>8.6999999999999993</v>
      </c>
      <c r="F38" s="168">
        <v>9.6999999999999993</v>
      </c>
      <c r="G38" s="168">
        <v>9.9</v>
      </c>
      <c r="H38" s="168">
        <v>8.93</v>
      </c>
      <c r="I38" s="168">
        <v>8.34</v>
      </c>
      <c r="J38" s="168">
        <v>8.56</v>
      </c>
      <c r="K38" s="168">
        <v>8.59</v>
      </c>
      <c r="L38" s="168">
        <v>8.7200000000000006</v>
      </c>
      <c r="M38" s="168">
        <v>9.1999999999999993</v>
      </c>
      <c r="N38" s="168">
        <v>9.32</v>
      </c>
      <c r="O38" s="168">
        <v>10.17</v>
      </c>
      <c r="P38" s="168">
        <v>10.37</v>
      </c>
      <c r="Q38" s="168">
        <v>11.01</v>
      </c>
      <c r="R38" s="168">
        <v>12.67</v>
      </c>
      <c r="S38" s="169">
        <v>12.88</v>
      </c>
      <c r="T38" s="214">
        <f>S38-(B38*1.4985)</f>
        <v>0.53236000000000061</v>
      </c>
      <c r="U38" s="223">
        <f>T38/B38</f>
        <v>6.4606796116504925E-2</v>
      </c>
    </row>
    <row r="39" spans="1:26" ht="15.75" thickTop="1" x14ac:dyDescent="0.25">
      <c r="A39" s="143" t="s">
        <v>272</v>
      </c>
      <c r="B39" s="150">
        <v>8.7799999999999994</v>
      </c>
      <c r="C39" s="150">
        <v>8.7200000000000006</v>
      </c>
      <c r="D39" s="150">
        <v>9.44</v>
      </c>
      <c r="E39" s="150">
        <v>9.8000000000000007</v>
      </c>
      <c r="F39" s="150">
        <v>9.59</v>
      </c>
      <c r="G39" s="150">
        <v>9.1</v>
      </c>
      <c r="H39" s="150">
        <v>9.01</v>
      </c>
      <c r="I39" s="150">
        <v>9.07</v>
      </c>
      <c r="J39" s="150">
        <v>9.4499999999999993</v>
      </c>
      <c r="K39" s="150">
        <v>9.67</v>
      </c>
      <c r="L39" s="150">
        <v>9.8800000000000008</v>
      </c>
      <c r="M39" s="150">
        <v>9.73</v>
      </c>
      <c r="N39" s="150">
        <v>10.039999999999999</v>
      </c>
      <c r="O39" s="150">
        <v>10.58</v>
      </c>
      <c r="P39" s="150">
        <v>11.43</v>
      </c>
      <c r="Q39" s="150">
        <v>11.55</v>
      </c>
      <c r="R39" s="150">
        <v>12.61</v>
      </c>
      <c r="S39" s="151">
        <v>13.53</v>
      </c>
      <c r="T39" s="214">
        <f t="shared" ref="T39:T43" si="27">S39-(B39*1.4985)</f>
        <v>0.37317</v>
      </c>
      <c r="U39" s="223">
        <f>T39/B39</f>
        <v>4.250227790432802E-2</v>
      </c>
    </row>
    <row r="40" spans="1:26" x14ac:dyDescent="0.25">
      <c r="A40" s="143" t="s">
        <v>273</v>
      </c>
      <c r="B40" s="150">
        <v>10.64</v>
      </c>
      <c r="C40" s="150">
        <v>11.31</v>
      </c>
      <c r="D40" s="150">
        <v>10.65</v>
      </c>
      <c r="E40" s="150">
        <v>11.45</v>
      </c>
      <c r="F40" s="150">
        <v>9.85</v>
      </c>
      <c r="G40" s="150">
        <v>9.73</v>
      </c>
      <c r="H40" s="150">
        <v>10.59</v>
      </c>
      <c r="I40" s="150">
        <v>11.04</v>
      </c>
      <c r="J40" s="150">
        <v>10.51</v>
      </c>
      <c r="K40" s="150">
        <v>10.4</v>
      </c>
      <c r="L40" s="150">
        <v>10.66</v>
      </c>
      <c r="M40" s="150">
        <v>10.73</v>
      </c>
      <c r="N40" s="150">
        <v>11.16</v>
      </c>
      <c r="O40" s="150">
        <v>11.37</v>
      </c>
      <c r="P40" s="150">
        <v>12.03</v>
      </c>
      <c r="Q40" s="150">
        <v>11.83</v>
      </c>
      <c r="R40" s="150">
        <v>12.06</v>
      </c>
      <c r="S40" s="151">
        <v>12.3</v>
      </c>
      <c r="T40" s="214">
        <f t="shared" si="27"/>
        <v>-3.6440400000000004</v>
      </c>
      <c r="U40" s="223">
        <f t="shared" ref="U40:U43" si="28">T40/B40</f>
        <v>-0.34248496240601506</v>
      </c>
    </row>
    <row r="41" spans="1:26" x14ac:dyDescent="0.25">
      <c r="A41" s="143" t="s">
        <v>274</v>
      </c>
      <c r="B41" s="150">
        <v>6.46</v>
      </c>
      <c r="C41" s="150">
        <v>6.51</v>
      </c>
      <c r="D41" s="150">
        <v>7.65</v>
      </c>
      <c r="E41" s="150">
        <v>7.92</v>
      </c>
      <c r="F41" s="150">
        <v>8.0399999999999991</v>
      </c>
      <c r="G41" s="150">
        <v>8.39</v>
      </c>
      <c r="H41" s="150">
        <v>8.6300000000000008</v>
      </c>
      <c r="I41" s="150">
        <v>8.66</v>
      </c>
      <c r="J41" s="150">
        <v>8.57</v>
      </c>
      <c r="K41" s="150">
        <v>8.6</v>
      </c>
      <c r="L41" s="150">
        <v>9.2100000000000009</v>
      </c>
      <c r="M41" s="150">
        <v>9.48</v>
      </c>
      <c r="N41" s="150">
        <v>9.8699999999999992</v>
      </c>
      <c r="O41" s="150">
        <v>10.220000000000001</v>
      </c>
      <c r="P41" s="150">
        <v>10.74</v>
      </c>
      <c r="Q41" s="150">
        <v>11.11</v>
      </c>
      <c r="R41" s="150">
        <v>12.54</v>
      </c>
      <c r="S41" s="151">
        <v>14.09</v>
      </c>
      <c r="T41" s="214">
        <f t="shared" si="27"/>
        <v>4.4096899999999994</v>
      </c>
      <c r="U41" s="223">
        <f t="shared" si="28"/>
        <v>0.68261455108359126</v>
      </c>
    </row>
    <row r="42" spans="1:26" x14ac:dyDescent="0.25">
      <c r="A42" s="143" t="s">
        <v>275</v>
      </c>
      <c r="B42" s="150">
        <v>10.48</v>
      </c>
      <c r="C42" s="150">
        <v>10.210000000000001</v>
      </c>
      <c r="D42" s="150">
        <v>9.58</v>
      </c>
      <c r="E42" s="150">
        <v>10.210000000000001</v>
      </c>
      <c r="F42" s="150">
        <v>9.43</v>
      </c>
      <c r="G42" s="150">
        <v>9.6</v>
      </c>
      <c r="H42" s="150">
        <v>9.73</v>
      </c>
      <c r="I42" s="150">
        <v>11.05</v>
      </c>
      <c r="J42" s="150">
        <v>11.55</v>
      </c>
      <c r="K42" s="150">
        <v>11.68</v>
      </c>
      <c r="L42" s="150">
        <v>13.85</v>
      </c>
      <c r="M42" s="150">
        <v>14.5</v>
      </c>
      <c r="N42" s="150">
        <v>15.26</v>
      </c>
      <c r="O42" s="150">
        <v>11.93</v>
      </c>
      <c r="P42" s="150">
        <v>11.18</v>
      </c>
      <c r="Q42" s="150">
        <v>12.22</v>
      </c>
      <c r="R42" s="150">
        <v>14.88</v>
      </c>
      <c r="S42" s="151">
        <v>15.2</v>
      </c>
      <c r="T42" s="214">
        <f t="shared" si="27"/>
        <v>-0.50428000000000139</v>
      </c>
      <c r="U42" s="223">
        <f t="shared" si="28"/>
        <v>-4.8118320610687153E-2</v>
      </c>
    </row>
    <row r="43" spans="1:26" x14ac:dyDescent="0.25">
      <c r="A43" s="143" t="s">
        <v>197</v>
      </c>
      <c r="B43" s="152">
        <v>10.44</v>
      </c>
      <c r="C43" s="152">
        <v>10.63</v>
      </c>
      <c r="D43" s="152">
        <v>11.12</v>
      </c>
      <c r="E43" s="152">
        <v>11.55</v>
      </c>
      <c r="F43" s="152">
        <v>10.97</v>
      </c>
      <c r="G43" s="152">
        <v>10.97</v>
      </c>
      <c r="H43" s="152">
        <v>10.94</v>
      </c>
      <c r="I43" s="152">
        <v>11.2</v>
      </c>
      <c r="J43" s="152">
        <v>10.8</v>
      </c>
      <c r="K43" s="152">
        <v>10.63</v>
      </c>
      <c r="L43" s="152">
        <v>10.95</v>
      </c>
      <c r="M43" s="152">
        <v>11.45</v>
      </c>
      <c r="N43" s="152">
        <v>11.65</v>
      </c>
      <c r="O43" s="152">
        <v>12.07</v>
      </c>
      <c r="P43" s="152">
        <v>13.35</v>
      </c>
      <c r="Q43" s="152">
        <v>13.24</v>
      </c>
      <c r="R43" s="152">
        <v>15.42</v>
      </c>
      <c r="S43" s="153">
        <v>16.95</v>
      </c>
      <c r="T43" s="214">
        <f t="shared" si="27"/>
        <v>1.3056600000000014</v>
      </c>
      <c r="U43" s="223">
        <f t="shared" si="28"/>
        <v>0.12506321839080473</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8" t="s">
        <v>354</v>
      </c>
      <c r="B46" s="318"/>
      <c r="C46" s="318"/>
      <c r="D46" s="318"/>
      <c r="E46" s="318"/>
      <c r="F46" s="318"/>
      <c r="G46" s="318"/>
      <c r="H46" s="318"/>
      <c r="I46" s="318"/>
      <c r="J46" s="318"/>
      <c r="K46" s="318"/>
      <c r="L46" s="318"/>
      <c r="M46" s="318"/>
      <c r="N46" s="318"/>
      <c r="O46" s="318"/>
      <c r="P46" s="318"/>
      <c r="Q46" s="318"/>
      <c r="R46" s="318"/>
      <c r="S46" s="318"/>
    </row>
    <row r="47" spans="1:26" x14ac:dyDescent="0.25">
      <c r="A47" s="189" t="s">
        <v>186</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271</v>
      </c>
      <c r="B48" s="167">
        <f>(B38-B38)/B38</f>
        <v>0</v>
      </c>
      <c r="C48" s="167">
        <f>(C38-B38)/B38</f>
        <v>-5.946601941747575E-2</v>
      </c>
      <c r="D48" s="167">
        <f>(D38-B38)/B38</f>
        <v>1.2135922330097044E-2</v>
      </c>
      <c r="E48" s="167">
        <f>(E38-B38)/B38</f>
        <v>5.5825242718446487E-2</v>
      </c>
      <c r="F48" s="167">
        <f>(F38-B38)/B38</f>
        <v>0.17718446601941737</v>
      </c>
      <c r="G48" s="167">
        <f>(G38-B38)/B38</f>
        <v>0.20145631067961167</v>
      </c>
      <c r="H48" s="167">
        <f>(H38-B38)/B38</f>
        <v>8.3737864077669838E-2</v>
      </c>
      <c r="I48" s="167">
        <f>(I38-B38)/B38</f>
        <v>1.2135922330097044E-2</v>
      </c>
      <c r="J48" s="167">
        <f>(J38-B38)/B38</f>
        <v>3.8834951456310711E-2</v>
      </c>
      <c r="K48" s="167">
        <f>(K38-B38)/B38</f>
        <v>4.2475728155339759E-2</v>
      </c>
      <c r="L48" s="167">
        <f>(L38-B38)/B38</f>
        <v>5.825242718446607E-2</v>
      </c>
      <c r="M48" s="167">
        <f>(M38-B38)/B38</f>
        <v>0.11650485436893192</v>
      </c>
      <c r="N48" s="167">
        <f>(N38-B38)/B38</f>
        <v>0.13106796116504854</v>
      </c>
      <c r="O48" s="167">
        <f>(O38-B38)/B38</f>
        <v>0.23422330097087374</v>
      </c>
      <c r="P48" s="167">
        <f>(P38-B38)/B38</f>
        <v>0.25849514563106785</v>
      </c>
      <c r="Q48" s="167">
        <f>(Q38-B38)/B38</f>
        <v>0.33616504854368928</v>
      </c>
      <c r="R48" s="167">
        <f>(R38-B38)/B38</f>
        <v>0.5376213592233009</v>
      </c>
      <c r="S48" s="167">
        <f>(S38-B38)/B38</f>
        <v>0.56310679611650494</v>
      </c>
    </row>
    <row r="49" spans="1:19" ht="15.75" thickTop="1" x14ac:dyDescent="0.25">
      <c r="A49" s="143" t="s">
        <v>272</v>
      </c>
      <c r="B49" s="147">
        <f>(B39-B39)/B39</f>
        <v>0</v>
      </c>
      <c r="C49" s="147">
        <f>(C39-B39)/B39</f>
        <v>-6.833712984054525E-3</v>
      </c>
      <c r="D49" s="147">
        <f>(D39-B39)/B39</f>
        <v>7.5170842824601389E-2</v>
      </c>
      <c r="E49" s="147">
        <f>(E39-B39)/B39</f>
        <v>0.11617312072892955</v>
      </c>
      <c r="F49" s="147">
        <f>(F39-B39)/B39</f>
        <v>9.2255125284738101E-2</v>
      </c>
      <c r="G49" s="147">
        <f>(G39-B39)/B39</f>
        <v>3.6446469248291605E-2</v>
      </c>
      <c r="H49" s="147">
        <f>(H39-B39)/B39</f>
        <v>2.6195899772209617E-2</v>
      </c>
      <c r="I49" s="147">
        <f>(I39-B39)/B39</f>
        <v>3.3029612756264343E-2</v>
      </c>
      <c r="J49" s="147">
        <f>(J39-B39)/B39</f>
        <v>7.6309794988610472E-2</v>
      </c>
      <c r="K49" s="147">
        <f>(K39-B39)/B39</f>
        <v>0.101366742596811</v>
      </c>
      <c r="L49" s="147">
        <f>(L39-B39)/B39</f>
        <v>0.12528473804100246</v>
      </c>
      <c r="M49" s="147">
        <f>(M39-B39)/B39</f>
        <v>0.10820045558086573</v>
      </c>
      <c r="N49" s="147">
        <f>(N39-B39)/B39</f>
        <v>0.14350797266514806</v>
      </c>
      <c r="O49" s="147">
        <f>(O39-B39)/B39</f>
        <v>0.20501138952164019</v>
      </c>
      <c r="P49" s="147">
        <f>(P39-B39)/B39</f>
        <v>0.30182232346241467</v>
      </c>
      <c r="Q49" s="147">
        <f>(Q39-B39)/B39</f>
        <v>0.3154897494305241</v>
      </c>
      <c r="R49" s="147">
        <f>(R39-B39)/B39</f>
        <v>0.43621867881548981</v>
      </c>
      <c r="S49" s="147">
        <f>(S39-B39)/B39</f>
        <v>0.54100227790432809</v>
      </c>
    </row>
    <row r="50" spans="1:19" x14ac:dyDescent="0.25">
      <c r="A50" s="143" t="s">
        <v>273</v>
      </c>
      <c r="B50" s="147">
        <f t="shared" ref="B50:B53" si="29">(B40-B40)/B40</f>
        <v>0</v>
      </c>
      <c r="C50" s="147">
        <f t="shared" ref="C50:C53" si="30">(C40-B40)/B40</f>
        <v>6.2969924812030065E-2</v>
      </c>
      <c r="D50" s="147">
        <f t="shared" ref="D50:D53" si="31">(D40-B40)/B40</f>
        <v>9.3984962406013027E-4</v>
      </c>
      <c r="E50" s="147">
        <f t="shared" ref="E50:E53" si="32">(E40-B40)/B40</f>
        <v>7.6127819548872058E-2</v>
      </c>
      <c r="F50" s="147">
        <f t="shared" ref="F50:F53" si="33">(F40-B40)/B40</f>
        <v>-7.4248120300751966E-2</v>
      </c>
      <c r="G50" s="147">
        <f t="shared" ref="G50:G53" si="34">(G40-B40)/B40</f>
        <v>-8.5526315789473686E-2</v>
      </c>
      <c r="H50" s="147">
        <f t="shared" ref="H50:H53" si="35">(H40-B40)/B40</f>
        <v>-4.6992481203008184E-3</v>
      </c>
      <c r="I50" s="147">
        <f t="shared" ref="I50:I53" si="36">(I40-B40)/B40</f>
        <v>3.7593984962405881E-2</v>
      </c>
      <c r="J50" s="147">
        <f t="shared" ref="J50:J53" si="37">(J40-B40)/B40</f>
        <v>-1.2218045112782027E-2</v>
      </c>
      <c r="K50" s="147">
        <f t="shared" ref="K50:K53" si="38">(K40-B40)/B40</f>
        <v>-2.2556390977443629E-2</v>
      </c>
      <c r="L50" s="147">
        <f t="shared" ref="L50:L53" si="39">(L40-B40)/B40</f>
        <v>1.8796992481202605E-3</v>
      </c>
      <c r="M50" s="147">
        <f t="shared" ref="M50:M53" si="40">(M40-B40)/B40</f>
        <v>8.458646616541339E-3</v>
      </c>
      <c r="N50" s="147">
        <f t="shared" ref="N50:N53" si="41">(N40-B40)/B40</f>
        <v>4.8872180451127775E-2</v>
      </c>
      <c r="O50" s="147">
        <f t="shared" ref="O50:O53" si="42">(O40-B40)/B40</f>
        <v>6.8609022556390842E-2</v>
      </c>
      <c r="P50" s="147">
        <f t="shared" ref="P50:P53" si="43">(P40-B40)/B40</f>
        <v>0.13063909774436078</v>
      </c>
      <c r="Q50" s="147">
        <f t="shared" ref="Q50:Q53" si="44">(Q40-B40)/B40</f>
        <v>0.11184210526315784</v>
      </c>
      <c r="R50" s="147">
        <f t="shared" ref="R50:R53" si="45">(R40-B40)/B40</f>
        <v>0.13345864661654133</v>
      </c>
      <c r="S50" s="147">
        <f t="shared" ref="S50:S52" si="46">(S40-B40)/B40</f>
        <v>0.15601503759398497</v>
      </c>
    </row>
    <row r="51" spans="1:19" x14ac:dyDescent="0.25">
      <c r="A51" s="143" t="s">
        <v>274</v>
      </c>
      <c r="B51" s="147">
        <f t="shared" si="29"/>
        <v>0</v>
      </c>
      <c r="C51" s="147">
        <f t="shared" si="30"/>
        <v>7.7399380804953283E-3</v>
      </c>
      <c r="D51" s="147">
        <f t="shared" si="31"/>
        <v>0.18421052631578955</v>
      </c>
      <c r="E51" s="147">
        <f t="shared" si="32"/>
        <v>0.2260061919504644</v>
      </c>
      <c r="F51" s="147">
        <f t="shared" si="33"/>
        <v>0.24458204334365313</v>
      </c>
      <c r="G51" s="147">
        <f t="shared" si="34"/>
        <v>0.29876160990712086</v>
      </c>
      <c r="H51" s="147">
        <f t="shared" si="35"/>
        <v>0.33591331269349856</v>
      </c>
      <c r="I51" s="147">
        <f t="shared" si="36"/>
        <v>0.34055727554179571</v>
      </c>
      <c r="J51" s="147">
        <f t="shared" si="37"/>
        <v>0.32662538699690408</v>
      </c>
      <c r="K51" s="147">
        <f t="shared" si="38"/>
        <v>0.33126934984520118</v>
      </c>
      <c r="L51" s="147">
        <f t="shared" si="39"/>
        <v>0.42569659442724472</v>
      </c>
      <c r="M51" s="147">
        <f t="shared" si="40"/>
        <v>0.46749226006191957</v>
      </c>
      <c r="N51" s="147">
        <f t="shared" si="41"/>
        <v>0.52786377708978316</v>
      </c>
      <c r="O51" s="147">
        <f t="shared" si="42"/>
        <v>0.58204334365325083</v>
      </c>
      <c r="P51" s="147">
        <f t="shared" si="43"/>
        <v>0.66253869969040247</v>
      </c>
      <c r="Q51" s="147">
        <f t="shared" si="44"/>
        <v>0.71981424148606798</v>
      </c>
      <c r="R51" s="147">
        <f t="shared" si="45"/>
        <v>0.94117647058823517</v>
      </c>
      <c r="S51" s="147">
        <f t="shared" si="46"/>
        <v>1.1811145510835914</v>
      </c>
    </row>
    <row r="52" spans="1:19" x14ac:dyDescent="0.25">
      <c r="A52" s="143" t="s">
        <v>275</v>
      </c>
      <c r="B52" s="147">
        <f t="shared" si="29"/>
        <v>0</v>
      </c>
      <c r="C52" s="147">
        <f t="shared" si="30"/>
        <v>-2.5763358778625914E-2</v>
      </c>
      <c r="D52" s="147">
        <f t="shared" si="31"/>
        <v>-8.5877862595419879E-2</v>
      </c>
      <c r="E52" s="147">
        <f t="shared" si="32"/>
        <v>-2.5763358778625914E-2</v>
      </c>
      <c r="F52" s="147">
        <f t="shared" si="33"/>
        <v>-0.10019083969465656</v>
      </c>
      <c r="G52" s="147">
        <f t="shared" si="34"/>
        <v>-8.3969465648855032E-2</v>
      </c>
      <c r="H52" s="147">
        <f t="shared" si="35"/>
        <v>-7.15648854961832E-2</v>
      </c>
      <c r="I52" s="147">
        <f t="shared" si="36"/>
        <v>5.4389312977099265E-2</v>
      </c>
      <c r="J52" s="147">
        <f t="shared" si="37"/>
        <v>0.10209923664122139</v>
      </c>
      <c r="K52" s="147">
        <f t="shared" si="38"/>
        <v>0.11450381679389306</v>
      </c>
      <c r="L52" s="147">
        <f t="shared" si="39"/>
        <v>0.32156488549618312</v>
      </c>
      <c r="M52" s="147">
        <f t="shared" si="40"/>
        <v>0.38358778625954193</v>
      </c>
      <c r="N52" s="147">
        <f t="shared" si="41"/>
        <v>0.45610687022900753</v>
      </c>
      <c r="O52" s="147">
        <f t="shared" si="42"/>
        <v>0.13835877862595414</v>
      </c>
      <c r="P52" s="147">
        <f t="shared" si="43"/>
        <v>6.6793893129770923E-2</v>
      </c>
      <c r="Q52" s="147">
        <f t="shared" si="44"/>
        <v>0.16603053435114506</v>
      </c>
      <c r="R52" s="147">
        <f t="shared" si="45"/>
        <v>0.41984732824427484</v>
      </c>
      <c r="S52" s="147">
        <f t="shared" si="46"/>
        <v>0.45038167938931284</v>
      </c>
    </row>
    <row r="53" spans="1:19" x14ac:dyDescent="0.25">
      <c r="A53" s="143" t="s">
        <v>197</v>
      </c>
      <c r="B53" s="147">
        <f t="shared" si="29"/>
        <v>0</v>
      </c>
      <c r="C53" s="147">
        <f t="shared" si="30"/>
        <v>1.8199233716475218E-2</v>
      </c>
      <c r="D53" s="147">
        <f t="shared" si="31"/>
        <v>6.5134099616858218E-2</v>
      </c>
      <c r="E53" s="147">
        <f t="shared" si="32"/>
        <v>0.10632183908045989</v>
      </c>
      <c r="F53" s="147">
        <f t="shared" si="33"/>
        <v>5.0766283524904324E-2</v>
      </c>
      <c r="G53" s="147">
        <f t="shared" si="34"/>
        <v>5.0766283524904324E-2</v>
      </c>
      <c r="H53" s="147">
        <f t="shared" si="35"/>
        <v>4.7892720306513412E-2</v>
      </c>
      <c r="I53" s="147">
        <f t="shared" si="36"/>
        <v>7.2796934865900373E-2</v>
      </c>
      <c r="J53" s="147">
        <f t="shared" si="37"/>
        <v>3.4482758620689773E-2</v>
      </c>
      <c r="K53" s="147">
        <f t="shared" si="38"/>
        <v>1.8199233716475218E-2</v>
      </c>
      <c r="L53" s="147">
        <f t="shared" si="39"/>
        <v>4.885057471264366E-2</v>
      </c>
      <c r="M53" s="147">
        <f t="shared" si="40"/>
        <v>9.6743295019157072E-2</v>
      </c>
      <c r="N53" s="147">
        <f t="shared" si="41"/>
        <v>0.11590038314176254</v>
      </c>
      <c r="O53" s="147">
        <f t="shared" si="42"/>
        <v>0.15613026819923381</v>
      </c>
      <c r="P53" s="147">
        <f t="shared" si="43"/>
        <v>0.27873563218390807</v>
      </c>
      <c r="Q53" s="147">
        <f t="shared" si="44"/>
        <v>0.26819923371647519</v>
      </c>
      <c r="R53" s="147">
        <f t="shared" si="45"/>
        <v>0.47701149425287365</v>
      </c>
      <c r="S53" s="147">
        <f>(S43-B43)/B43</f>
        <v>0.62356321839080464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U22" sqref="U22"/>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2" t="s">
        <v>276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3" spans="1:28" ht="15.75" x14ac:dyDescent="0.25">
      <c r="A3" s="318" t="s">
        <v>277</v>
      </c>
      <c r="B3" s="318"/>
      <c r="C3" s="318"/>
      <c r="D3" s="318"/>
      <c r="E3" s="318"/>
      <c r="F3" s="318"/>
      <c r="G3" s="318"/>
      <c r="H3" s="318"/>
      <c r="I3" s="318"/>
      <c r="J3" s="318"/>
      <c r="K3" s="318"/>
      <c r="L3" s="318"/>
      <c r="M3" s="318"/>
      <c r="N3" s="318"/>
      <c r="O3" s="318"/>
      <c r="P3" s="318"/>
      <c r="Q3" s="318"/>
      <c r="R3" s="318"/>
      <c r="S3" s="318"/>
      <c r="T3" s="318"/>
      <c r="U3" s="318"/>
      <c r="V3" s="318"/>
      <c r="W3" s="318"/>
      <c r="X3" s="142"/>
    </row>
    <row r="4" spans="1:28" x14ac:dyDescent="0.2">
      <c r="A4" s="189" t="s">
        <v>186</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218</v>
      </c>
      <c r="B5" s="144">
        <f>'4C'!B19</f>
        <v>315</v>
      </c>
      <c r="C5" s="144">
        <f>'4C'!C19</f>
        <v>314</v>
      </c>
      <c r="D5" s="144">
        <f>'4C'!D19</f>
        <v>289</v>
      </c>
      <c r="E5" s="144">
        <f>'4C'!E19</f>
        <v>296</v>
      </c>
      <c r="F5" s="144">
        <f>'4C'!F19</f>
        <v>304</v>
      </c>
      <c r="G5" s="144">
        <f>'4C'!G19</f>
        <v>307</v>
      </c>
      <c r="H5" s="144">
        <f>'4C'!H19</f>
        <v>298</v>
      </c>
      <c r="I5" s="144">
        <f>'4C'!I19</f>
        <v>309</v>
      </c>
      <c r="J5" s="144">
        <f>'4C'!J19</f>
        <v>304</v>
      </c>
      <c r="K5" s="144">
        <f>'4C'!K19</f>
        <v>307</v>
      </c>
      <c r="L5" s="144">
        <f>'4C'!L19</f>
        <v>314</v>
      </c>
      <c r="M5" s="144">
        <f>'4C'!M19</f>
        <v>366</v>
      </c>
      <c r="N5" s="144">
        <f>'4C'!N19</f>
        <v>365</v>
      </c>
      <c r="O5" s="144">
        <f>'4C'!O19</f>
        <v>344</v>
      </c>
      <c r="P5" s="144">
        <f>'4C'!P19</f>
        <v>358</v>
      </c>
      <c r="Q5" s="144">
        <f>'4C'!Q19</f>
        <v>361</v>
      </c>
      <c r="R5" s="144">
        <f>'4C'!R19</f>
        <v>369</v>
      </c>
      <c r="S5" s="144">
        <f>'4C'!S19</f>
        <v>359</v>
      </c>
      <c r="T5" s="144">
        <f>'4C'!T19</f>
        <v>356</v>
      </c>
      <c r="U5" s="144">
        <f>'4C'!U19</f>
        <v>297</v>
      </c>
      <c r="V5" s="144">
        <f>'4C'!V19</f>
        <v>313</v>
      </c>
      <c r="W5" s="144">
        <f>'4C'!W19</f>
        <v>315</v>
      </c>
      <c r="X5" s="145"/>
    </row>
    <row r="6" spans="1:28" x14ac:dyDescent="0.2">
      <c r="A6" s="143" t="s">
        <v>219</v>
      </c>
      <c r="B6" s="144">
        <v>19540</v>
      </c>
      <c r="C6" s="144">
        <v>19803</v>
      </c>
      <c r="D6" s="144">
        <v>19307</v>
      </c>
      <c r="E6" s="144">
        <v>19081</v>
      </c>
      <c r="F6" s="144">
        <v>19075</v>
      </c>
      <c r="G6" s="144">
        <v>18870</v>
      </c>
      <c r="H6" s="144">
        <v>18326</v>
      </c>
      <c r="I6" s="144">
        <v>17957</v>
      </c>
      <c r="J6" s="144">
        <v>17742</v>
      </c>
      <c r="K6" s="144">
        <v>18369</v>
      </c>
      <c r="L6" s="144">
        <v>19263</v>
      </c>
      <c r="M6" s="144">
        <v>19729</v>
      </c>
      <c r="N6" s="144">
        <v>19523</v>
      </c>
      <c r="O6" s="144">
        <v>19384</v>
      </c>
      <c r="P6" s="144">
        <v>19451</v>
      </c>
      <c r="Q6" s="144">
        <v>20038</v>
      </c>
      <c r="R6" s="144">
        <v>20443</v>
      </c>
      <c r="S6" s="144">
        <v>21348</v>
      </c>
      <c r="T6" s="144">
        <v>21571</v>
      </c>
      <c r="U6" s="144">
        <v>17385</v>
      </c>
      <c r="V6" s="144">
        <v>16761</v>
      </c>
      <c r="W6" s="144">
        <v>18211</v>
      </c>
      <c r="X6" s="145"/>
    </row>
    <row r="7" spans="1:28" x14ac:dyDescent="0.2">
      <c r="A7" s="143" t="s">
        <v>220</v>
      </c>
      <c r="B7" s="144">
        <v>674323</v>
      </c>
      <c r="C7" s="144">
        <v>686234</v>
      </c>
      <c r="D7" s="144">
        <v>692659</v>
      </c>
      <c r="E7" s="144">
        <v>699906</v>
      </c>
      <c r="F7" s="144">
        <v>712009</v>
      </c>
      <c r="G7" s="144">
        <v>730438</v>
      </c>
      <c r="H7" s="144">
        <v>738651</v>
      </c>
      <c r="I7" s="144">
        <v>749998</v>
      </c>
      <c r="J7" s="144">
        <v>766187</v>
      </c>
      <c r="K7" s="144">
        <v>784548</v>
      </c>
      <c r="L7" s="144">
        <v>809146</v>
      </c>
      <c r="M7" s="144">
        <v>838462</v>
      </c>
      <c r="N7" s="144">
        <v>678650</v>
      </c>
      <c r="O7" s="144">
        <v>672091</v>
      </c>
      <c r="P7" s="144">
        <v>666453</v>
      </c>
      <c r="Q7" s="144">
        <v>664414</v>
      </c>
      <c r="R7" s="144">
        <v>660262</v>
      </c>
      <c r="S7" s="144">
        <v>666704</v>
      </c>
      <c r="T7" s="144">
        <v>661759</v>
      </c>
      <c r="U7" s="144">
        <v>557291</v>
      </c>
      <c r="V7" s="144">
        <v>517502</v>
      </c>
      <c r="W7" s="144">
        <v>533500</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8" t="s">
        <v>278</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8" x14ac:dyDescent="0.2">
      <c r="A11" s="189" t="s">
        <v>186</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218</v>
      </c>
      <c r="B12" s="170">
        <f>(B5-B5)/B5</f>
        <v>0</v>
      </c>
      <c r="C12" s="170">
        <f>(C5-B5)/B5</f>
        <v>-3.1746031746031746E-3</v>
      </c>
      <c r="D12" s="170">
        <f>(D5-B5)/B5</f>
        <v>-8.2539682539682538E-2</v>
      </c>
      <c r="E12" s="170">
        <f>(E5-B5)/B5</f>
        <v>-6.0317460317460318E-2</v>
      </c>
      <c r="F12" s="170">
        <f>(F5-B5)/B5</f>
        <v>-3.4920634920634921E-2</v>
      </c>
      <c r="G12" s="170">
        <f>(G5-B5)/B5</f>
        <v>-2.5396825396825397E-2</v>
      </c>
      <c r="H12" s="170">
        <f>(H5-B5)/B5</f>
        <v>-5.3968253968253971E-2</v>
      </c>
      <c r="I12" s="170">
        <f>(I5-B5)/B5</f>
        <v>-1.9047619047619049E-2</v>
      </c>
      <c r="J12" s="170">
        <f>(J5-B5)/B5</f>
        <v>-3.4920634920634921E-2</v>
      </c>
      <c r="K12" s="170">
        <f>(K5-B5)/B5</f>
        <v>-2.5396825396825397E-2</v>
      </c>
      <c r="L12" s="170">
        <f>(L5-B5)/B5</f>
        <v>-3.1746031746031746E-3</v>
      </c>
      <c r="M12" s="170">
        <f>(M5-B5)/B5</f>
        <v>0.16190476190476191</v>
      </c>
      <c r="N12" s="170">
        <f>(N5-B5)/B5</f>
        <v>0.15873015873015872</v>
      </c>
      <c r="O12" s="170">
        <f>(O5-B5)/B5</f>
        <v>9.2063492063492069E-2</v>
      </c>
      <c r="P12" s="170">
        <f>(P5-B5)/B5</f>
        <v>0.13650793650793649</v>
      </c>
      <c r="Q12" s="170">
        <f>(Q5-B5)/B5</f>
        <v>0.14603174603174604</v>
      </c>
      <c r="R12" s="170">
        <f>(R5-B5)/B5</f>
        <v>0.17142857142857143</v>
      </c>
      <c r="S12" s="170">
        <f>(S5-B5)/B5</f>
        <v>0.13968253968253969</v>
      </c>
      <c r="T12" s="170">
        <f>(T5-B5)/B5</f>
        <v>0.13015873015873017</v>
      </c>
      <c r="U12" s="170">
        <f>(U5-B5)/B5</f>
        <v>-5.7142857142857141E-2</v>
      </c>
      <c r="V12" s="170">
        <f>(V5-B5)/B5</f>
        <v>-6.3492063492063492E-3</v>
      </c>
      <c r="W12" s="170">
        <f>(W5-B5)/B5</f>
        <v>0</v>
      </c>
    </row>
    <row r="13" spans="1:28" x14ac:dyDescent="0.2">
      <c r="A13" s="143" t="s">
        <v>219</v>
      </c>
      <c r="B13" s="170">
        <f>(B6-B6)/B6</f>
        <v>0</v>
      </c>
      <c r="C13" s="170">
        <f>(C6-B6)/B6</f>
        <v>1.345957011258956E-2</v>
      </c>
      <c r="D13" s="170">
        <f>(D6-B6)/B6</f>
        <v>-1.1924257932446265E-2</v>
      </c>
      <c r="E13" s="170">
        <f>(E6-B6)/B6</f>
        <v>-2.3490276356192427E-2</v>
      </c>
      <c r="F13" s="170">
        <f>(F6-B6)/B6</f>
        <v>-2.3797338792221085E-2</v>
      </c>
      <c r="G13" s="170">
        <f>(G6-B6)/B6</f>
        <v>-3.4288638689866938E-2</v>
      </c>
      <c r="H13" s="170">
        <f>(H6-B6)/B6</f>
        <v>-6.2128966223132034E-2</v>
      </c>
      <c r="I13" s="170">
        <f>(I6-B6)/B6</f>
        <v>-8.1013306038894575E-2</v>
      </c>
      <c r="J13" s="170">
        <f>(J6-B6)/B6</f>
        <v>-9.2016376663254865E-2</v>
      </c>
      <c r="K13" s="170">
        <f>(K6-B6)/B6</f>
        <v>-5.9928352098259981E-2</v>
      </c>
      <c r="L13" s="170">
        <f>(L6-B6)/B6</f>
        <v>-1.4176049129989765E-2</v>
      </c>
      <c r="M13" s="170">
        <f>(M6-B6)/B6</f>
        <v>9.672466734902763E-3</v>
      </c>
      <c r="N13" s="170">
        <f>(N6-B6)/B6</f>
        <v>-8.7001023541453427E-4</v>
      </c>
      <c r="O13" s="170">
        <f>(O6-B6)/B6</f>
        <v>-7.9836233367451374E-3</v>
      </c>
      <c r="P13" s="170">
        <f>(P6-B6)/B6</f>
        <v>-4.5547594677584442E-3</v>
      </c>
      <c r="Q13" s="170">
        <f>(Q6-B6)/B6</f>
        <v>2.5486182190378709E-2</v>
      </c>
      <c r="R13" s="170">
        <f>(R6-B6)/B6</f>
        <v>4.6212896622313204E-2</v>
      </c>
      <c r="S13" s="170">
        <f>(S6-B6)/B6</f>
        <v>9.2528147389969298E-2</v>
      </c>
      <c r="T13" s="170">
        <f>(T6-B6)/B6</f>
        <v>0.10394063459570113</v>
      </c>
      <c r="U13" s="170">
        <f>(U6-B6)/B6</f>
        <v>-0.11028659160696008</v>
      </c>
      <c r="V13" s="170">
        <f>(V6-B6)/B6</f>
        <v>-0.14222108495394065</v>
      </c>
      <c r="W13" s="170">
        <f>(W6-B6)/B6</f>
        <v>-6.8014329580348004E-2</v>
      </c>
    </row>
    <row r="14" spans="1:28" x14ac:dyDescent="0.2">
      <c r="A14" s="143" t="s">
        <v>220</v>
      </c>
      <c r="B14" s="170">
        <f>(B7-B7)/B7</f>
        <v>0</v>
      </c>
      <c r="C14" s="170">
        <f>(C7-B7)/B7</f>
        <v>1.7663641904547226E-2</v>
      </c>
      <c r="D14" s="170">
        <f>(D7-B7)/B7</f>
        <v>2.7191716729223235E-2</v>
      </c>
      <c r="E14" s="170">
        <f>(E7-B7)/B7</f>
        <v>3.7938791943920053E-2</v>
      </c>
      <c r="F14" s="170">
        <f>(F7-B7)/B7</f>
        <v>5.588716386657433E-2</v>
      </c>
      <c r="G14" s="170">
        <f>(G7-B7)/B7</f>
        <v>8.3216796698318163E-2</v>
      </c>
      <c r="H14" s="170">
        <f>(H7-B7)/B7</f>
        <v>9.5396419816616077E-2</v>
      </c>
      <c r="I14" s="170">
        <f>(I7-B7)/B7</f>
        <v>0.11222366729297384</v>
      </c>
      <c r="J14" s="170">
        <f>(J7-B7)/B7</f>
        <v>0.13623144991346878</v>
      </c>
      <c r="K14" s="170">
        <f>(K7-B7)/B7</f>
        <v>0.16346024086379971</v>
      </c>
      <c r="L14" s="170">
        <f>(L7-B7)/B7</f>
        <v>0.1999383084960768</v>
      </c>
      <c r="M14" s="170">
        <f>(M7-B7)/B7</f>
        <v>0.24341302313579694</v>
      </c>
      <c r="N14" s="170">
        <f>(N7-B7)/B7</f>
        <v>6.4168061893187687E-3</v>
      </c>
      <c r="O14" s="170">
        <f>(O7-B7)/B7</f>
        <v>-3.3099864604944516E-3</v>
      </c>
      <c r="P14" s="170">
        <f>(P7-B7)/B7</f>
        <v>-1.1670964804700418E-2</v>
      </c>
      <c r="Q14" s="170">
        <f>(Q7-B7)/B7</f>
        <v>-1.4694738278243512E-2</v>
      </c>
      <c r="R14" s="170">
        <f>(R7-B7)/B7</f>
        <v>-2.0852024919808459E-2</v>
      </c>
      <c r="S14" s="170">
        <f>(S7-B7)/B7</f>
        <v>-1.1298739624779224E-2</v>
      </c>
      <c r="T14" s="170">
        <f>(T7-B7)/B7</f>
        <v>-1.8632020559880058E-2</v>
      </c>
      <c r="U14" s="170">
        <f>(U7-B7)/B7</f>
        <v>-0.17355480978700119</v>
      </c>
      <c r="V14" s="170">
        <f>(V7-B7)/B7</f>
        <v>-0.2325606571331543</v>
      </c>
      <c r="W14" s="170">
        <f>(W7-B7)/B7</f>
        <v>-0.20883612156192211</v>
      </c>
    </row>
    <row r="16" spans="1:28" ht="15.75" x14ac:dyDescent="0.25">
      <c r="A16" s="318" t="s">
        <v>279</v>
      </c>
      <c r="B16" s="318"/>
      <c r="C16" s="318"/>
      <c r="D16" s="318"/>
      <c r="E16" s="318"/>
      <c r="F16" s="318"/>
      <c r="G16" s="318"/>
      <c r="H16" s="318"/>
      <c r="I16" s="318"/>
      <c r="J16" s="318"/>
      <c r="K16" s="318"/>
      <c r="L16" s="318"/>
      <c r="M16" s="318"/>
      <c r="N16" s="318"/>
      <c r="O16" s="318"/>
      <c r="P16" s="318"/>
      <c r="Q16" s="318"/>
      <c r="R16" s="318"/>
      <c r="S16" s="318"/>
      <c r="T16"/>
      <c r="U16"/>
      <c r="V16"/>
      <c r="W16"/>
    </row>
    <row r="17" spans="1:23" ht="15" x14ac:dyDescent="0.25">
      <c r="A17" s="189" t="s">
        <v>186</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218</v>
      </c>
      <c r="B18" s="150">
        <f>'4C'!B38</f>
        <v>8.24</v>
      </c>
      <c r="C18" s="150">
        <f>'4C'!C38</f>
        <v>7.75</v>
      </c>
      <c r="D18" s="150">
        <f>'4C'!D38</f>
        <v>8.34</v>
      </c>
      <c r="E18" s="150">
        <f>'4C'!E38</f>
        <v>8.6999999999999993</v>
      </c>
      <c r="F18" s="150">
        <f>'4C'!F38</f>
        <v>9.6999999999999993</v>
      </c>
      <c r="G18" s="150">
        <f>'4C'!G38</f>
        <v>9.9</v>
      </c>
      <c r="H18" s="150">
        <f>'4C'!H38</f>
        <v>8.93</v>
      </c>
      <c r="I18" s="150">
        <f>'4C'!I38</f>
        <v>8.34</v>
      </c>
      <c r="J18" s="150">
        <f>'4C'!J38</f>
        <v>8.56</v>
      </c>
      <c r="K18" s="150">
        <f>'4C'!K38</f>
        <v>8.59</v>
      </c>
      <c r="L18" s="150">
        <f>'4C'!L38</f>
        <v>8.7200000000000006</v>
      </c>
      <c r="M18" s="150">
        <f>'4C'!M38</f>
        <v>9.1999999999999993</v>
      </c>
      <c r="N18" s="150">
        <f>'4C'!N38</f>
        <v>9.32</v>
      </c>
      <c r="O18" s="150">
        <f>'4C'!O38</f>
        <v>10.17</v>
      </c>
      <c r="P18" s="150">
        <f>'4C'!P38</f>
        <v>10.37</v>
      </c>
      <c r="Q18" s="150">
        <f>'4C'!Q38</f>
        <v>11.01</v>
      </c>
      <c r="R18" s="150">
        <f>'4C'!R38</f>
        <v>12.67</v>
      </c>
      <c r="S18" s="150">
        <f>'4C'!S38</f>
        <v>12.88</v>
      </c>
      <c r="T18"/>
      <c r="U18"/>
      <c r="V18"/>
      <c r="W18"/>
    </row>
    <row r="19" spans="1:23" ht="15" x14ac:dyDescent="0.25">
      <c r="A19" s="143" t="s">
        <v>219</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220</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8" t="s">
        <v>280</v>
      </c>
      <c r="B23" s="318"/>
      <c r="C23" s="318"/>
      <c r="D23" s="318"/>
      <c r="E23" s="318"/>
      <c r="F23" s="318"/>
      <c r="G23" s="318"/>
      <c r="H23" s="318"/>
      <c r="I23" s="318"/>
      <c r="J23" s="318"/>
      <c r="K23" s="318"/>
      <c r="L23" s="318"/>
      <c r="M23" s="318"/>
      <c r="N23" s="318"/>
      <c r="O23" s="318"/>
      <c r="P23" s="318"/>
      <c r="Q23" s="318"/>
      <c r="R23" s="318"/>
      <c r="S23" s="318"/>
      <c r="T23"/>
      <c r="U23"/>
      <c r="V23"/>
      <c r="W23"/>
    </row>
    <row r="24" spans="1:23" ht="15" x14ac:dyDescent="0.25">
      <c r="A24" s="189" t="s">
        <v>186</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318</v>
      </c>
      <c r="B25" s="170">
        <f>(B18-B18)/B18</f>
        <v>0</v>
      </c>
      <c r="C25" s="170">
        <f>(C18-B18)/B18</f>
        <v>-5.946601941747575E-2</v>
      </c>
      <c r="D25" s="170">
        <f>(D18-B18)/B18</f>
        <v>1.2135922330097044E-2</v>
      </c>
      <c r="E25" s="170">
        <f>(E18-B18)/B18</f>
        <v>5.5825242718446487E-2</v>
      </c>
      <c r="F25" s="170">
        <f>(F18-B18)/B18</f>
        <v>0.17718446601941737</v>
      </c>
      <c r="G25" s="170">
        <f>(G18-B18)/B18</f>
        <v>0.20145631067961167</v>
      </c>
      <c r="H25" s="170">
        <f>(H18-B18)/B18</f>
        <v>8.3737864077669838E-2</v>
      </c>
      <c r="I25" s="170">
        <f>(I18-B18)/B18</f>
        <v>1.2135922330097044E-2</v>
      </c>
      <c r="J25" s="170">
        <f>(J18-B18)/B18</f>
        <v>3.8834951456310711E-2</v>
      </c>
      <c r="K25" s="170">
        <f>(K18-B18)/B18</f>
        <v>4.2475728155339759E-2</v>
      </c>
      <c r="L25" s="170">
        <f>(L18-B18)/B18</f>
        <v>5.825242718446607E-2</v>
      </c>
      <c r="M25" s="170">
        <f>(M18-B18)/B18</f>
        <v>0.11650485436893192</v>
      </c>
      <c r="N25" s="170">
        <f>(N18-B18)/B18</f>
        <v>0.13106796116504854</v>
      </c>
      <c r="O25" s="170">
        <f>(O18-B18)/B18</f>
        <v>0.23422330097087374</v>
      </c>
      <c r="P25" s="170">
        <f>(P18-B18)/B18</f>
        <v>0.25849514563106785</v>
      </c>
      <c r="Q25" s="170">
        <f>(Q18-B18)/B18</f>
        <v>0.33616504854368928</v>
      </c>
      <c r="R25" s="170">
        <f>(R18-B18)/B18</f>
        <v>0.5376213592233009</v>
      </c>
      <c r="S25" s="170">
        <f>(S18-B18)/B18</f>
        <v>0.56310679611650494</v>
      </c>
      <c r="T25"/>
      <c r="U25"/>
      <c r="V25"/>
      <c r="W25"/>
    </row>
    <row r="26" spans="1:23" ht="15" x14ac:dyDescent="0.25">
      <c r="A26" s="143" t="s">
        <v>219</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220</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C27" sqref="C27"/>
    </sheetView>
  </sheetViews>
  <sheetFormatPr defaultColWidth="9.140625" defaultRowHeight="14.25" x14ac:dyDescent="0.2"/>
  <cols>
    <col min="1" max="1" width="28.28515625" style="1" customWidth="1"/>
    <col min="2" max="2" width="8.140625" style="1" customWidth="1"/>
    <col min="3" max="3" width="35.7109375" style="1" bestFit="1" customWidth="1"/>
    <col min="4" max="4" width="10.28515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281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4" spans="1:27" ht="15" x14ac:dyDescent="0.25">
      <c r="A4" s="323" t="s">
        <v>335</v>
      </c>
      <c r="B4" s="323"/>
      <c r="C4" s="323"/>
      <c r="D4" s="323"/>
    </row>
    <row r="5" spans="1:27" ht="15" x14ac:dyDescent="0.25">
      <c r="A5" s="324" t="s">
        <v>201</v>
      </c>
      <c r="B5" s="325"/>
      <c r="C5" s="324" t="s">
        <v>202</v>
      </c>
      <c r="D5" s="324"/>
    </row>
    <row r="6" spans="1:27" x14ac:dyDescent="0.2">
      <c r="A6" s="154" t="s">
        <v>203</v>
      </c>
      <c r="B6" s="155" t="s">
        <v>192</v>
      </c>
      <c r="C6" s="154" t="s">
        <v>203</v>
      </c>
      <c r="D6" s="156" t="s">
        <v>192</v>
      </c>
    </row>
    <row r="7" spans="1:27" x14ac:dyDescent="0.2">
      <c r="A7" s="1" t="s">
        <v>214</v>
      </c>
      <c r="B7" s="157">
        <v>0.128</v>
      </c>
      <c r="C7" s="1" t="s">
        <v>214</v>
      </c>
      <c r="D7" s="158">
        <v>0.14599999999999999</v>
      </c>
    </row>
    <row r="8" spans="1:27" x14ac:dyDescent="0.2">
      <c r="A8" s="1" t="s">
        <v>207</v>
      </c>
      <c r="B8" s="157">
        <v>9.0999999999999998E-2</v>
      </c>
      <c r="C8" s="1" t="s">
        <v>207</v>
      </c>
      <c r="D8" s="158">
        <v>0.14169999999999999</v>
      </c>
    </row>
    <row r="9" spans="1:27" x14ac:dyDescent="0.2">
      <c r="A9" s="1" t="s">
        <v>282</v>
      </c>
      <c r="B9" s="157">
        <v>8.5999999999999993E-2</v>
      </c>
      <c r="C9" s="1" t="s">
        <v>212</v>
      </c>
      <c r="D9" s="158">
        <v>0.1196</v>
      </c>
    </row>
    <row r="10" spans="1:27" x14ac:dyDescent="0.2">
      <c r="A10" s="1" t="s">
        <v>283</v>
      </c>
      <c r="B10" s="157">
        <v>8.3599999999999994E-2</v>
      </c>
      <c r="C10" s="1" t="s">
        <v>283</v>
      </c>
      <c r="D10" s="158">
        <v>0.11169999999999999</v>
      </c>
    </row>
    <row r="11" spans="1:27" x14ac:dyDescent="0.2">
      <c r="A11" s="1" t="s">
        <v>284</v>
      </c>
      <c r="B11" s="157">
        <v>8.1900000000000001E-2</v>
      </c>
      <c r="C11" s="1" t="s">
        <v>282</v>
      </c>
      <c r="D11" s="158">
        <v>9.5649999999999999E-2</v>
      </c>
    </row>
    <row r="12" spans="1:27" x14ac:dyDescent="0.2">
      <c r="A12" s="1" t="s">
        <v>212</v>
      </c>
      <c r="B12" s="157">
        <v>7.8700000000000006E-2</v>
      </c>
      <c r="C12" s="1" t="s">
        <v>213</v>
      </c>
      <c r="D12" s="158">
        <v>9.4329999999999997E-2</v>
      </c>
    </row>
    <row r="13" spans="1:27" x14ac:dyDescent="0.2">
      <c r="A13" s="1" t="s">
        <v>285</v>
      </c>
      <c r="B13" s="157">
        <v>6.5689999999999998E-2</v>
      </c>
      <c r="C13" s="1" t="s">
        <v>204</v>
      </c>
      <c r="D13" s="158">
        <v>7.6850000000000002E-2</v>
      </c>
    </row>
    <row r="14" spans="1:27" x14ac:dyDescent="0.2">
      <c r="A14" s="1" t="s">
        <v>204</v>
      </c>
      <c r="B14" s="157">
        <v>6.3200000000000006E-2</v>
      </c>
      <c r="C14" s="1" t="s">
        <v>286</v>
      </c>
      <c r="D14" s="158">
        <v>7.2120000000000004E-2</v>
      </c>
    </row>
    <row r="15" spans="1:27" x14ac:dyDescent="0.2">
      <c r="A15" s="1" t="s">
        <v>213</v>
      </c>
      <c r="B15" s="157">
        <v>6.1800000000000001E-2</v>
      </c>
      <c r="C15" s="1" t="s">
        <v>284</v>
      </c>
      <c r="D15" s="158">
        <v>7.1249999999999994E-2</v>
      </c>
    </row>
    <row r="16" spans="1:27" x14ac:dyDescent="0.2">
      <c r="A16" s="1" t="s">
        <v>287</v>
      </c>
      <c r="B16" s="157">
        <v>5.7000000000000002E-2</v>
      </c>
      <c r="C16" s="1" t="s">
        <v>208</v>
      </c>
      <c r="D16" s="158">
        <v>7.0000000000000007E-2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O12" sqref="O12"/>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288</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3" spans="1:27" ht="15" x14ac:dyDescent="0.25">
      <c r="A3" s="193" t="s">
        <v>355</v>
      </c>
      <c r="B3" s="193"/>
      <c r="C3" s="193"/>
      <c r="D3" s="193"/>
      <c r="F3" s="323" t="s">
        <v>356</v>
      </c>
      <c r="G3" s="323"/>
      <c r="H3" s="323"/>
    </row>
    <row r="4" spans="1:27" ht="28.5" x14ac:dyDescent="0.2">
      <c r="A4" s="191" t="s">
        <v>227</v>
      </c>
      <c r="B4" s="191" t="s">
        <v>228</v>
      </c>
      <c r="C4" s="192" t="s">
        <v>229</v>
      </c>
      <c r="D4" s="1"/>
      <c r="F4" s="191" t="s">
        <v>230</v>
      </c>
      <c r="G4" s="192" t="s">
        <v>231</v>
      </c>
      <c r="H4" s="37" t="s">
        <v>232</v>
      </c>
      <c r="O4" s="1"/>
    </row>
    <row r="5" spans="1:27" ht="15" x14ac:dyDescent="0.25">
      <c r="A5" s="160">
        <v>43313</v>
      </c>
      <c r="B5">
        <v>1</v>
      </c>
      <c r="C5" s="218" t="s">
        <v>233</v>
      </c>
      <c r="D5" s="1"/>
      <c r="F5" s="1" t="s">
        <v>289</v>
      </c>
      <c r="G5" s="159">
        <v>11</v>
      </c>
      <c r="H5" s="203" t="s">
        <v>236</v>
      </c>
      <c r="O5" s="1"/>
    </row>
    <row r="6" spans="1:27" ht="15" x14ac:dyDescent="0.25">
      <c r="A6" s="160">
        <v>43344</v>
      </c>
      <c r="B6">
        <v>0</v>
      </c>
      <c r="C6" s="218" t="s">
        <v>233</v>
      </c>
      <c r="D6" s="1"/>
      <c r="F6" s="1" t="s">
        <v>324</v>
      </c>
      <c r="G6" s="159">
        <v>3</v>
      </c>
      <c r="H6" s="203" t="s">
        <v>261</v>
      </c>
      <c r="O6" s="1"/>
    </row>
    <row r="7" spans="1:27" ht="15" x14ac:dyDescent="0.25">
      <c r="A7" s="160">
        <v>43374</v>
      </c>
      <c r="B7">
        <v>3</v>
      </c>
      <c r="C7" s="218" t="s">
        <v>233</v>
      </c>
      <c r="D7" s="1"/>
      <c r="F7" s="1" t="s">
        <v>357</v>
      </c>
      <c r="G7" s="159">
        <v>3</v>
      </c>
      <c r="H7" s="203" t="s">
        <v>235</v>
      </c>
      <c r="O7" s="1"/>
    </row>
    <row r="8" spans="1:27" ht="15" x14ac:dyDescent="0.25">
      <c r="A8" s="160">
        <v>43405</v>
      </c>
      <c r="B8">
        <v>0</v>
      </c>
      <c r="C8" s="218" t="s">
        <v>233</v>
      </c>
      <c r="D8" s="1"/>
      <c r="F8" s="1" t="s">
        <v>358</v>
      </c>
      <c r="G8" s="159">
        <v>1</v>
      </c>
      <c r="H8" s="203" t="s">
        <v>363</v>
      </c>
      <c r="O8" s="1"/>
    </row>
    <row r="9" spans="1:27" ht="15" x14ac:dyDescent="0.25">
      <c r="A9" s="160">
        <v>43435</v>
      </c>
      <c r="B9">
        <v>0</v>
      </c>
      <c r="C9" s="218" t="s">
        <v>233</v>
      </c>
      <c r="D9" s="1"/>
      <c r="F9" s="1" t="s">
        <v>359</v>
      </c>
      <c r="G9" s="159">
        <v>1</v>
      </c>
      <c r="H9" s="203" t="s">
        <v>235</v>
      </c>
      <c r="O9" s="1"/>
    </row>
    <row r="10" spans="1:27" ht="15" x14ac:dyDescent="0.25">
      <c r="A10" s="160">
        <v>43466</v>
      </c>
      <c r="B10">
        <v>0</v>
      </c>
      <c r="C10" s="218" t="s">
        <v>233</v>
      </c>
      <c r="D10" s="1"/>
      <c r="F10" s="1" t="s">
        <v>360</v>
      </c>
      <c r="G10" s="159">
        <v>1</v>
      </c>
      <c r="H10" s="203" t="s">
        <v>235</v>
      </c>
      <c r="O10" s="1"/>
    </row>
    <row r="11" spans="1:27" ht="15" x14ac:dyDescent="0.25">
      <c r="A11" s="160">
        <v>43497</v>
      </c>
      <c r="B11">
        <v>0</v>
      </c>
      <c r="C11" s="218" t="s">
        <v>233</v>
      </c>
      <c r="D11" s="1"/>
      <c r="F11" s="1" t="s">
        <v>361</v>
      </c>
      <c r="G11" s="159">
        <v>1</v>
      </c>
      <c r="H11" s="203" t="s">
        <v>364</v>
      </c>
      <c r="O11" s="1"/>
    </row>
    <row r="12" spans="1:27" ht="15" x14ac:dyDescent="0.25">
      <c r="A12" s="160">
        <v>43525</v>
      </c>
      <c r="B12">
        <v>0</v>
      </c>
      <c r="C12" s="218" t="s">
        <v>233</v>
      </c>
      <c r="D12" s="1"/>
      <c r="F12" s="1" t="s">
        <v>362</v>
      </c>
      <c r="G12" s="159">
        <v>1</v>
      </c>
      <c r="H12" s="203" t="s">
        <v>235</v>
      </c>
      <c r="O12" s="1"/>
    </row>
    <row r="13" spans="1:27" ht="15" x14ac:dyDescent="0.25">
      <c r="A13" s="160">
        <v>43556</v>
      </c>
      <c r="B13">
        <v>1</v>
      </c>
      <c r="C13" s="218" t="s">
        <v>233</v>
      </c>
      <c r="D13" s="1"/>
      <c r="G13" s="159"/>
      <c r="H13" s="203"/>
      <c r="O13" s="1"/>
    </row>
    <row r="14" spans="1:27" ht="15" x14ac:dyDescent="0.25">
      <c r="A14" s="160">
        <v>43586</v>
      </c>
      <c r="B14">
        <v>0</v>
      </c>
      <c r="C14" s="218" t="s">
        <v>233</v>
      </c>
      <c r="D14" s="1"/>
      <c r="G14" s="159"/>
      <c r="H14" s="203"/>
      <c r="O14" s="1"/>
    </row>
    <row r="15" spans="1:27" ht="15" x14ac:dyDescent="0.25">
      <c r="A15" s="160">
        <v>43617</v>
      </c>
      <c r="B15">
        <v>0</v>
      </c>
      <c r="C15" s="218" t="s">
        <v>233</v>
      </c>
      <c r="D15" s="1"/>
      <c r="O15" s="1"/>
    </row>
    <row r="16" spans="1:27" ht="15" x14ac:dyDescent="0.25">
      <c r="A16" s="160">
        <v>43647</v>
      </c>
      <c r="B16">
        <v>0</v>
      </c>
      <c r="C16" s="218" t="s">
        <v>233</v>
      </c>
      <c r="D16" s="1"/>
      <c r="O16" s="1"/>
    </row>
    <row r="17" spans="1:15" ht="15" x14ac:dyDescent="0.25">
      <c r="A17" s="160">
        <v>43678</v>
      </c>
      <c r="B17">
        <v>1</v>
      </c>
      <c r="C17" s="218" t="s">
        <v>233</v>
      </c>
      <c r="D17" s="1"/>
      <c r="O17" s="1"/>
    </row>
    <row r="18" spans="1:15" ht="15" x14ac:dyDescent="0.25">
      <c r="A18" s="160">
        <v>43709</v>
      </c>
      <c r="B18">
        <v>0</v>
      </c>
      <c r="C18" s="218" t="s">
        <v>233</v>
      </c>
      <c r="D18" s="1"/>
      <c r="I18" s="39"/>
      <c r="O18" s="1"/>
    </row>
    <row r="19" spans="1:15" ht="15" x14ac:dyDescent="0.25">
      <c r="A19" s="160">
        <v>43739</v>
      </c>
      <c r="B19">
        <v>1</v>
      </c>
      <c r="C19" s="218" t="s">
        <v>233</v>
      </c>
      <c r="D19" s="1"/>
      <c r="I19" s="39"/>
      <c r="O19" s="1"/>
    </row>
    <row r="20" spans="1:15" ht="15" x14ac:dyDescent="0.25">
      <c r="A20" s="160">
        <v>43770</v>
      </c>
      <c r="B20">
        <v>0</v>
      </c>
      <c r="C20" s="218" t="s">
        <v>233</v>
      </c>
      <c r="D20" s="1"/>
      <c r="I20" s="39"/>
      <c r="O20" s="1"/>
    </row>
    <row r="21" spans="1:15" ht="15" x14ac:dyDescent="0.25">
      <c r="A21" s="160">
        <v>43800</v>
      </c>
      <c r="B21">
        <v>0</v>
      </c>
      <c r="C21" s="218" t="s">
        <v>233</v>
      </c>
      <c r="D21" s="1"/>
      <c r="I21" s="39"/>
      <c r="O21" s="1"/>
    </row>
    <row r="22" spans="1:15" ht="15" x14ac:dyDescent="0.25">
      <c r="A22" s="160">
        <v>43831</v>
      </c>
      <c r="B22">
        <v>1</v>
      </c>
      <c r="C22" s="218" t="s">
        <v>233</v>
      </c>
      <c r="D22" s="1"/>
      <c r="I22" s="39"/>
      <c r="O22" s="1"/>
    </row>
    <row r="23" spans="1:15" ht="15" x14ac:dyDescent="0.25">
      <c r="A23" s="160">
        <v>43862</v>
      </c>
      <c r="B23">
        <v>1</v>
      </c>
      <c r="C23" s="218" t="s">
        <v>233</v>
      </c>
      <c r="D23" s="1"/>
      <c r="O23" s="1"/>
    </row>
    <row r="24" spans="1:15" ht="15" x14ac:dyDescent="0.25">
      <c r="A24" s="160">
        <v>43891</v>
      </c>
      <c r="B24">
        <v>1</v>
      </c>
      <c r="C24" s="218" t="s">
        <v>233</v>
      </c>
      <c r="D24" s="1"/>
      <c r="O24" s="1"/>
    </row>
    <row r="25" spans="1:15" ht="15" x14ac:dyDescent="0.25">
      <c r="A25" s="160">
        <v>43922</v>
      </c>
      <c r="B25">
        <v>0</v>
      </c>
      <c r="C25" s="218" t="s">
        <v>233</v>
      </c>
      <c r="D25" s="1"/>
      <c r="O25" s="1"/>
    </row>
    <row r="26" spans="1:15" ht="15" x14ac:dyDescent="0.25">
      <c r="A26" s="160">
        <v>43952</v>
      </c>
      <c r="B26">
        <v>0</v>
      </c>
      <c r="C26" s="218" t="s">
        <v>233</v>
      </c>
      <c r="D26" s="1"/>
      <c r="O26" s="1"/>
    </row>
    <row r="27" spans="1:15" ht="15" x14ac:dyDescent="0.25">
      <c r="A27" s="160">
        <v>43983</v>
      </c>
      <c r="B27">
        <v>1</v>
      </c>
      <c r="C27" s="218" t="s">
        <v>233</v>
      </c>
      <c r="D27" s="1"/>
      <c r="O27" s="1"/>
    </row>
    <row r="28" spans="1:15" ht="15" x14ac:dyDescent="0.25">
      <c r="A28" s="160">
        <v>44013</v>
      </c>
      <c r="B28">
        <v>1</v>
      </c>
      <c r="C28" s="218" t="s">
        <v>233</v>
      </c>
      <c r="D28" s="1"/>
      <c r="O28" s="1"/>
    </row>
    <row r="29" spans="1:15" ht="15" x14ac:dyDescent="0.25">
      <c r="A29" s="160">
        <v>44044</v>
      </c>
      <c r="B29">
        <v>1</v>
      </c>
      <c r="C29" s="218" t="s">
        <v>233</v>
      </c>
      <c r="D29" s="1"/>
      <c r="O29" s="1"/>
    </row>
    <row r="30" spans="1:15" ht="15" x14ac:dyDescent="0.25">
      <c r="A30" s="160">
        <v>44075</v>
      </c>
      <c r="B30">
        <v>1</v>
      </c>
      <c r="C30" s="218" t="s">
        <v>233</v>
      </c>
      <c r="D30" s="1"/>
      <c r="O30" s="1"/>
    </row>
    <row r="31" spans="1:15" ht="15" x14ac:dyDescent="0.25">
      <c r="A31" s="160">
        <v>44105</v>
      </c>
      <c r="B31">
        <v>1</v>
      </c>
      <c r="C31" s="218" t="s">
        <v>233</v>
      </c>
      <c r="D31" s="1"/>
      <c r="O31" s="1"/>
    </row>
    <row r="32" spans="1:15" ht="15" x14ac:dyDescent="0.25">
      <c r="A32" s="160">
        <v>44136</v>
      </c>
      <c r="B32">
        <v>0</v>
      </c>
      <c r="C32" s="218" t="s">
        <v>233</v>
      </c>
      <c r="D32" s="1"/>
      <c r="O32" s="1"/>
    </row>
    <row r="33" spans="1:15" ht="15" x14ac:dyDescent="0.25">
      <c r="A33" s="160">
        <v>44166</v>
      </c>
      <c r="B33">
        <v>0</v>
      </c>
      <c r="C33" s="218" t="s">
        <v>233</v>
      </c>
      <c r="D33" s="1"/>
      <c r="O33" s="1"/>
    </row>
    <row r="34" spans="1:15" ht="15" x14ac:dyDescent="0.25">
      <c r="A34" s="160">
        <v>44197</v>
      </c>
      <c r="B34">
        <v>1</v>
      </c>
      <c r="C34" s="218" t="s">
        <v>233</v>
      </c>
      <c r="D34" s="1"/>
      <c r="O34" s="1"/>
    </row>
    <row r="35" spans="1:15" ht="15" x14ac:dyDescent="0.25">
      <c r="A35" s="160">
        <v>44228</v>
      </c>
      <c r="B35">
        <v>0</v>
      </c>
      <c r="C35" s="218" t="s">
        <v>233</v>
      </c>
      <c r="D35" s="1"/>
      <c r="O35" s="1"/>
    </row>
    <row r="36" spans="1:15" ht="15" x14ac:dyDescent="0.25">
      <c r="A36" s="160">
        <v>44256</v>
      </c>
      <c r="B36">
        <v>2</v>
      </c>
      <c r="C36" s="218" t="s">
        <v>233</v>
      </c>
      <c r="D36" s="1"/>
      <c r="O36" s="1"/>
    </row>
    <row r="37" spans="1:15" ht="15" x14ac:dyDescent="0.25">
      <c r="A37" s="160">
        <v>44287</v>
      </c>
      <c r="B37">
        <v>3</v>
      </c>
      <c r="C37" s="218" t="s">
        <v>233</v>
      </c>
      <c r="D37" s="1"/>
      <c r="O37" s="1"/>
    </row>
    <row r="38" spans="1:15" ht="15" x14ac:dyDescent="0.25">
      <c r="A38" s="160">
        <v>44317</v>
      </c>
      <c r="B38">
        <v>7</v>
      </c>
      <c r="C38" s="218" t="s">
        <v>233</v>
      </c>
      <c r="D38" s="1"/>
      <c r="O38" s="1"/>
    </row>
    <row r="39" spans="1:15" ht="15" x14ac:dyDescent="0.25">
      <c r="A39" s="160">
        <v>44348</v>
      </c>
      <c r="B39">
        <v>3</v>
      </c>
      <c r="C39" s="218" t="s">
        <v>233</v>
      </c>
      <c r="D39" s="1"/>
      <c r="O39" s="1"/>
    </row>
    <row r="40" spans="1:15" ht="15" x14ac:dyDescent="0.25">
      <c r="A40" s="160">
        <v>44378</v>
      </c>
      <c r="B40">
        <v>0</v>
      </c>
      <c r="C40" s="218" t="s">
        <v>233</v>
      </c>
      <c r="D40" s="1"/>
      <c r="O40" s="1"/>
    </row>
    <row r="41" spans="1:15" ht="15" x14ac:dyDescent="0.25">
      <c r="A41" s="160">
        <v>44409</v>
      </c>
      <c r="B41">
        <v>2</v>
      </c>
      <c r="C41" s="218" t="s">
        <v>233</v>
      </c>
      <c r="D41" s="1"/>
      <c r="O41" s="1"/>
    </row>
    <row r="42" spans="1:15" ht="15" x14ac:dyDescent="0.25">
      <c r="A42" s="160">
        <v>44440</v>
      </c>
      <c r="B42">
        <v>1</v>
      </c>
      <c r="C42" s="218" t="s">
        <v>233</v>
      </c>
      <c r="D42" s="1"/>
      <c r="O42" s="1"/>
    </row>
    <row r="43" spans="1:15" ht="15" x14ac:dyDescent="0.25">
      <c r="A43" s="160">
        <v>44470</v>
      </c>
      <c r="B43">
        <v>1</v>
      </c>
      <c r="C43" s="218" t="s">
        <v>233</v>
      </c>
      <c r="D43" s="1"/>
      <c r="O43" s="1"/>
    </row>
    <row r="44" spans="1:15" ht="15" x14ac:dyDescent="0.25">
      <c r="A44" s="160">
        <v>44501</v>
      </c>
      <c r="B44">
        <v>0</v>
      </c>
      <c r="C44" s="218" t="s">
        <v>233</v>
      </c>
      <c r="D44" s="1"/>
      <c r="O44" s="1"/>
    </row>
    <row r="45" spans="1:15" ht="15" x14ac:dyDescent="0.25">
      <c r="A45" s="160">
        <v>44531</v>
      </c>
      <c r="B45">
        <v>0</v>
      </c>
      <c r="C45" s="218" t="s">
        <v>233</v>
      </c>
      <c r="D45" s="1"/>
      <c r="O45" s="1"/>
    </row>
    <row r="46" spans="1:15" ht="15" x14ac:dyDescent="0.25">
      <c r="A46" s="160">
        <v>44562</v>
      </c>
      <c r="B46">
        <v>1</v>
      </c>
      <c r="C46" s="218" t="s">
        <v>233</v>
      </c>
      <c r="D46" s="1"/>
      <c r="O46" s="1"/>
    </row>
    <row r="47" spans="1:15" ht="15" x14ac:dyDescent="0.25">
      <c r="A47" s="160">
        <v>44593</v>
      </c>
      <c r="B47">
        <v>0</v>
      </c>
      <c r="C47" s="218" t="s">
        <v>233</v>
      </c>
      <c r="D47" s="1"/>
      <c r="O47" s="1"/>
    </row>
    <row r="48" spans="1:15" ht="15" x14ac:dyDescent="0.25">
      <c r="A48" s="160">
        <v>44621</v>
      </c>
      <c r="B48">
        <v>4</v>
      </c>
      <c r="C48" s="218" t="s">
        <v>233</v>
      </c>
      <c r="D48" s="1"/>
      <c r="O48" s="1"/>
    </row>
    <row r="49" spans="1:15" ht="15" x14ac:dyDescent="0.25">
      <c r="A49" s="160">
        <v>44652</v>
      </c>
      <c r="B49">
        <v>2</v>
      </c>
      <c r="C49" s="218" t="s">
        <v>233</v>
      </c>
      <c r="D49" s="1"/>
      <c r="O49" s="1"/>
    </row>
    <row r="50" spans="1:15" ht="15" x14ac:dyDescent="0.25">
      <c r="A50" s="160">
        <v>44682</v>
      </c>
      <c r="B50">
        <v>0</v>
      </c>
      <c r="C50" s="218" t="s">
        <v>233</v>
      </c>
      <c r="D50" s="1"/>
      <c r="O50" s="1"/>
    </row>
    <row r="51" spans="1:15" ht="15" x14ac:dyDescent="0.25">
      <c r="A51" s="160">
        <v>44713</v>
      </c>
      <c r="B51">
        <v>0</v>
      </c>
      <c r="C51" s="218" t="s">
        <v>233</v>
      </c>
      <c r="D51" s="1"/>
      <c r="O51" s="1"/>
    </row>
    <row r="52" spans="1:15" ht="15" x14ac:dyDescent="0.25">
      <c r="A52" s="160">
        <v>44743</v>
      </c>
      <c r="B52">
        <v>1</v>
      </c>
      <c r="C52" s="218" t="s">
        <v>233</v>
      </c>
      <c r="D52" s="1"/>
      <c r="O52" s="1"/>
    </row>
    <row r="53" spans="1:15" ht="15" x14ac:dyDescent="0.25">
      <c r="A53" s="160">
        <v>44774</v>
      </c>
      <c r="B53">
        <v>1</v>
      </c>
      <c r="C53" s="218" t="s">
        <v>233</v>
      </c>
      <c r="D53" s="1"/>
      <c r="O53" s="1"/>
    </row>
    <row r="54" spans="1:15" ht="15" x14ac:dyDescent="0.25">
      <c r="A54" s="160">
        <v>44805</v>
      </c>
      <c r="B54">
        <v>1</v>
      </c>
      <c r="C54" s="218" t="s">
        <v>233</v>
      </c>
      <c r="D54" s="1"/>
      <c r="O54" s="1"/>
    </row>
    <row r="55" spans="1:15" ht="15" x14ac:dyDescent="0.25">
      <c r="A55" s="160">
        <v>44835</v>
      </c>
      <c r="B55">
        <v>1</v>
      </c>
      <c r="C55" s="218" t="s">
        <v>233</v>
      </c>
      <c r="D55" s="1"/>
      <c r="O55" s="1"/>
    </row>
    <row r="56" spans="1:15" ht="15" x14ac:dyDescent="0.25">
      <c r="A56" s="160">
        <v>44866</v>
      </c>
      <c r="B56">
        <v>3</v>
      </c>
      <c r="C56" s="218" t="s">
        <v>233</v>
      </c>
      <c r="D56" s="161"/>
      <c r="O56" s="1"/>
    </row>
    <row r="57" spans="1:15" ht="15" x14ac:dyDescent="0.25">
      <c r="A57" s="160">
        <v>44896</v>
      </c>
      <c r="B57">
        <v>1</v>
      </c>
      <c r="C57" s="218" t="s">
        <v>233</v>
      </c>
      <c r="D57" s="1"/>
      <c r="O57" s="1"/>
    </row>
    <row r="58" spans="1:15" ht="15" x14ac:dyDescent="0.25">
      <c r="A58" s="160">
        <v>44927</v>
      </c>
      <c r="B58">
        <v>0</v>
      </c>
      <c r="C58" s="218" t="s">
        <v>233</v>
      </c>
      <c r="D58" s="1"/>
      <c r="O58" s="1"/>
    </row>
    <row r="59" spans="1:15" ht="15" x14ac:dyDescent="0.25">
      <c r="A59" s="160">
        <v>44958</v>
      </c>
      <c r="B59">
        <v>1</v>
      </c>
      <c r="C59" s="218" t="s">
        <v>233</v>
      </c>
      <c r="D59" s="1"/>
      <c r="O59" s="1"/>
    </row>
    <row r="60" spans="1:15" ht="15" x14ac:dyDescent="0.25">
      <c r="A60" s="160">
        <v>44986</v>
      </c>
      <c r="B60">
        <v>12</v>
      </c>
      <c r="C60" s="218" t="s">
        <v>233</v>
      </c>
      <c r="D60" s="1"/>
      <c r="O60" s="1"/>
    </row>
    <row r="61" spans="1:15" ht="15" x14ac:dyDescent="0.25">
      <c r="A61" s="160">
        <v>45017</v>
      </c>
      <c r="B61">
        <v>0</v>
      </c>
      <c r="C61" s="218" t="s">
        <v>233</v>
      </c>
      <c r="D61" s="1"/>
      <c r="O61" s="1"/>
    </row>
    <row r="62" spans="1:15" ht="15" x14ac:dyDescent="0.25">
      <c r="A62" s="160">
        <v>45047</v>
      </c>
      <c r="B62">
        <v>4</v>
      </c>
      <c r="C62" s="218" t="s">
        <v>233</v>
      </c>
      <c r="D62" s="1"/>
      <c r="O62" s="1"/>
    </row>
    <row r="63" spans="1:15" ht="15" x14ac:dyDescent="0.25">
      <c r="A63" s="160">
        <v>45078</v>
      </c>
      <c r="B63">
        <v>0</v>
      </c>
      <c r="C63" s="218" t="s">
        <v>233</v>
      </c>
      <c r="D63" s="1"/>
      <c r="O63" s="1"/>
    </row>
    <row r="64" spans="1:15" ht="15" x14ac:dyDescent="0.25">
      <c r="A64" s="160">
        <v>45108</v>
      </c>
      <c r="B64">
        <v>1</v>
      </c>
      <c r="C64" s="218" t="s">
        <v>233</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1"/>
  <sheetViews>
    <sheetView zoomScaleNormal="100" workbookViewId="0">
      <selection activeCell="M30" sqref="M30"/>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2" t="s">
        <v>290</v>
      </c>
      <c r="B1" s="242"/>
      <c r="C1" s="242"/>
      <c r="D1" s="242"/>
      <c r="E1" s="242"/>
      <c r="F1" s="242"/>
      <c r="G1" s="242"/>
      <c r="H1" s="242"/>
      <c r="I1" s="242"/>
      <c r="J1" s="242"/>
      <c r="K1" s="242"/>
      <c r="L1" s="242"/>
      <c r="M1" s="242"/>
      <c r="N1" s="242"/>
      <c r="O1" s="242"/>
      <c r="P1" s="242"/>
      <c r="Q1" s="242"/>
      <c r="R1" s="242"/>
      <c r="S1" s="242"/>
      <c r="T1" s="242"/>
      <c r="U1" s="242"/>
      <c r="V1" s="242"/>
      <c r="W1" s="242"/>
      <c r="X1" s="242"/>
      <c r="Y1" s="242"/>
    </row>
  </sheetData>
  <mergeCells count="1">
    <mergeCell ref="A1:Y1"/>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zoomScaleNormal="100" workbookViewId="0">
      <selection activeCell="AG13" sqref="AG13"/>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42" t="s">
        <v>291</v>
      </c>
      <c r="B1" s="242"/>
      <c r="C1" s="242"/>
      <c r="D1" s="242"/>
      <c r="E1" s="242"/>
      <c r="F1" s="242"/>
      <c r="G1" s="242"/>
      <c r="H1" s="242"/>
      <c r="I1" s="242"/>
      <c r="J1" s="242"/>
      <c r="K1" s="242"/>
      <c r="L1" s="242"/>
      <c r="M1" s="242"/>
      <c r="N1" s="242"/>
      <c r="O1" s="242"/>
      <c r="P1" s="242"/>
      <c r="Q1" s="242"/>
      <c r="R1" s="242"/>
      <c r="S1" s="1" t="s">
        <v>313</v>
      </c>
    </row>
    <row r="2" spans="1:27" ht="15" thickBot="1" x14ac:dyDescent="0.25">
      <c r="B2" s="38"/>
      <c r="C2" s="38"/>
      <c r="P2" s="1"/>
      <c r="Q2" s="40"/>
    </row>
    <row r="3" spans="1:27" ht="12.75" customHeight="1" thickBot="1" x14ac:dyDescent="0.25">
      <c r="A3" s="326" t="s">
        <v>28</v>
      </c>
      <c r="B3" s="329" t="s">
        <v>29</v>
      </c>
      <c r="C3" s="263"/>
      <c r="D3" s="301" t="s">
        <v>30</v>
      </c>
      <c r="E3" s="302"/>
      <c r="F3" s="212" t="s">
        <v>32</v>
      </c>
      <c r="G3" s="211" t="s">
        <v>32</v>
      </c>
      <c r="H3" s="211" t="s">
        <v>32</v>
      </c>
      <c r="I3" s="279" t="s">
        <v>32</v>
      </c>
      <c r="J3" s="279"/>
      <c r="K3" s="211" t="s">
        <v>33</v>
      </c>
      <c r="L3" s="211"/>
      <c r="M3" s="211" t="s">
        <v>34</v>
      </c>
      <c r="N3" s="211" t="s">
        <v>34</v>
      </c>
      <c r="O3" s="213" t="s">
        <v>34</v>
      </c>
      <c r="P3" s="1"/>
      <c r="Q3" s="40"/>
      <c r="V3" s="310" t="s">
        <v>264</v>
      </c>
      <c r="W3" s="310"/>
      <c r="X3" s="310"/>
      <c r="Y3" s="310"/>
      <c r="Z3" s="310"/>
      <c r="AA3" s="310"/>
    </row>
    <row r="4" spans="1:27" ht="14.45" customHeight="1" thickBot="1" x14ac:dyDescent="0.3">
      <c r="A4" s="327"/>
      <c r="B4" s="264" t="s">
        <v>36</v>
      </c>
      <c r="C4" s="330" t="s">
        <v>37</v>
      </c>
      <c r="D4" s="313" t="s">
        <v>36</v>
      </c>
      <c r="E4" s="315" t="s">
        <v>37</v>
      </c>
      <c r="F4" s="290" t="s">
        <v>38</v>
      </c>
      <c r="G4" s="288" t="s">
        <v>39</v>
      </c>
      <c r="H4" s="288" t="s">
        <v>40</v>
      </c>
      <c r="I4" s="280" t="s">
        <v>127</v>
      </c>
      <c r="J4" s="281"/>
      <c r="K4" s="280" t="s">
        <v>42</v>
      </c>
      <c r="L4" s="281"/>
      <c r="M4" s="292" t="s">
        <v>43</v>
      </c>
      <c r="N4" s="292" t="s">
        <v>44</v>
      </c>
      <c r="O4" s="332" t="s">
        <v>45</v>
      </c>
      <c r="P4" s="1"/>
      <c r="Q4" s="40"/>
      <c r="U4" s="1" t="s">
        <v>128</v>
      </c>
      <c r="V4" s="44" t="s">
        <v>129</v>
      </c>
      <c r="W4" s="44" t="s">
        <v>47</v>
      </c>
      <c r="X4" s="44" t="s">
        <v>49</v>
      </c>
      <c r="Y4" s="44" t="s">
        <v>130</v>
      </c>
      <c r="Z4" s="44" t="s">
        <v>131</v>
      </c>
      <c r="AA4" s="44" t="s">
        <v>132</v>
      </c>
    </row>
    <row r="5" spans="1:27" ht="26.25" customHeight="1" thickBot="1" x14ac:dyDescent="0.25">
      <c r="A5" s="328"/>
      <c r="B5" s="309"/>
      <c r="C5" s="331"/>
      <c r="D5" s="314"/>
      <c r="E5" s="316"/>
      <c r="F5" s="291"/>
      <c r="G5" s="289"/>
      <c r="H5" s="289"/>
      <c r="I5" s="45" t="s">
        <v>47</v>
      </c>
      <c r="J5" s="45" t="s">
        <v>48</v>
      </c>
      <c r="K5" s="208" t="s">
        <v>49</v>
      </c>
      <c r="L5" s="208" t="s">
        <v>50</v>
      </c>
      <c r="M5" s="293"/>
      <c r="N5" s="293"/>
      <c r="O5" s="333"/>
      <c r="P5" s="1"/>
      <c r="Q5" s="40"/>
      <c r="U5" s="1">
        <v>0</v>
      </c>
      <c r="V5" s="46">
        <f>H6</f>
        <v>17.501954875195317</v>
      </c>
      <c r="W5" s="46">
        <f>I6</f>
        <v>20.535625000000003</v>
      </c>
      <c r="X5" s="46">
        <f>K6</f>
        <v>22.589187500000005</v>
      </c>
      <c r="Y5" s="46">
        <f>M6</f>
        <v>24.848106250000008</v>
      </c>
      <c r="Z5" s="46" t="str">
        <f>N6</f>
        <v>-</v>
      </c>
      <c r="AA5" s="46" t="str">
        <f>O6</f>
        <v>-</v>
      </c>
    </row>
    <row r="6" spans="1:27" x14ac:dyDescent="0.2">
      <c r="A6" s="111" t="s">
        <v>56</v>
      </c>
      <c r="B6" s="112">
        <f>'1A'!B14</f>
        <v>13.67</v>
      </c>
      <c r="C6" s="113">
        <f>'1A'!C14</f>
        <v>28433.599999999999</v>
      </c>
      <c r="D6" s="59">
        <f>'1A'!D14</f>
        <v>20.535625000000003</v>
      </c>
      <c r="E6" s="114">
        <f>'1A'!E14</f>
        <v>42714.100000000006</v>
      </c>
      <c r="F6" s="59">
        <f>'1A'!F14</f>
        <v>17.501954875195317</v>
      </c>
      <c r="G6" s="59">
        <f>'1A'!G14</f>
        <v>17.501954875195317</v>
      </c>
      <c r="H6" s="59">
        <f>'1A'!H14</f>
        <v>17.501954875195317</v>
      </c>
      <c r="I6" s="60">
        <f>'1A'!I14</f>
        <v>20.535625000000003</v>
      </c>
      <c r="J6" s="116">
        <f>'1A'!J14</f>
        <v>21.562406250000006</v>
      </c>
      <c r="K6" s="60">
        <f>'1A'!K14</f>
        <v>22.589187500000005</v>
      </c>
      <c r="L6" s="60">
        <f>'1A'!L14</f>
        <v>23.718646875000005</v>
      </c>
      <c r="M6" s="60">
        <f>'1A'!M14</f>
        <v>24.848106250000008</v>
      </c>
      <c r="N6" s="60" t="s">
        <v>57</v>
      </c>
      <c r="O6" s="162" t="s">
        <v>57</v>
      </c>
      <c r="P6" s="1"/>
      <c r="U6" s="1">
        <v>1</v>
      </c>
      <c r="V6" s="46">
        <f t="shared" ref="V6:V25" si="0">V5*1.025</f>
        <v>17.939503747075197</v>
      </c>
      <c r="W6" s="46">
        <f t="shared" ref="W6:W25" si="1">W5*1.025</f>
        <v>21.049015625000003</v>
      </c>
      <c r="X6" s="46">
        <f t="shared" ref="X6:X25" si="2">X5*1.025</f>
        <v>23.153917187500003</v>
      </c>
      <c r="Y6" s="46">
        <f t="shared" ref="Y6:Y25" si="3">Y5*1.025</f>
        <v>25.469308906250006</v>
      </c>
      <c r="Z6" s="46" t="e">
        <f t="shared" ref="Z6:AA21" si="4">Z5+0.15</f>
        <v>#VALUE!</v>
      </c>
      <c r="AA6" s="46" t="e">
        <f t="shared" si="4"/>
        <v>#VALUE!</v>
      </c>
    </row>
    <row r="7" spans="1:27" x14ac:dyDescent="0.2">
      <c r="A7" s="285" t="s">
        <v>133</v>
      </c>
      <c r="B7" s="286"/>
      <c r="C7" s="286"/>
      <c r="D7" s="286"/>
      <c r="E7" s="286"/>
      <c r="F7" s="286"/>
      <c r="G7" s="286"/>
      <c r="H7" s="287"/>
      <c r="I7" s="55">
        <f>I6-H6</f>
        <v>3.0336701248046865</v>
      </c>
      <c r="J7" s="55">
        <f t="shared" ref="J7:M7" si="5">J6-I6</f>
        <v>1.0267812500000026</v>
      </c>
      <c r="K7" s="55">
        <f t="shared" si="5"/>
        <v>1.0267812499999991</v>
      </c>
      <c r="L7" s="55">
        <f>L6-K6</f>
        <v>1.1294593749999997</v>
      </c>
      <c r="M7" s="55">
        <f t="shared" si="5"/>
        <v>1.1294593750000033</v>
      </c>
      <c r="N7" s="55" t="s">
        <v>292</v>
      </c>
      <c r="O7" s="55" t="s">
        <v>292</v>
      </c>
      <c r="P7" s="1"/>
      <c r="U7" s="1">
        <v>2</v>
      </c>
      <c r="V7" s="46">
        <f t="shared" si="0"/>
        <v>18.387991340752073</v>
      </c>
      <c r="W7" s="46">
        <f t="shared" si="1"/>
        <v>21.575241015625</v>
      </c>
      <c r="X7" s="46">
        <f t="shared" si="2"/>
        <v>23.732765117187501</v>
      </c>
      <c r="Y7" s="46">
        <f t="shared" si="3"/>
        <v>26.106041628906254</v>
      </c>
      <c r="Z7" s="46" t="e">
        <f t="shared" si="4"/>
        <v>#VALUE!</v>
      </c>
      <c r="AA7" s="46" t="e">
        <f t="shared" si="4"/>
        <v>#VALUE!</v>
      </c>
    </row>
    <row r="8" spans="1:27" x14ac:dyDescent="0.2">
      <c r="A8" s="56" t="s">
        <v>65</v>
      </c>
      <c r="B8" s="59">
        <f>'1A'!B22</f>
        <v>13.67</v>
      </c>
      <c r="C8" s="114">
        <f>'1A'!C22</f>
        <v>28433.599999999999</v>
      </c>
      <c r="D8" s="59">
        <f>'1A'!D22</f>
        <v>18.668750000000003</v>
      </c>
      <c r="E8" s="114">
        <f>'1A'!E22</f>
        <v>38831.000000000007</v>
      </c>
      <c r="F8" s="59">
        <f>'1A'!F22</f>
        <v>15.910868068359376</v>
      </c>
      <c r="G8" s="60">
        <f>'1A'!G22</f>
        <v>15.910868068359376</v>
      </c>
      <c r="H8" s="60">
        <f>'1A'!H22</f>
        <v>15.910868068359376</v>
      </c>
      <c r="I8" s="61">
        <f>'1A'!I22</f>
        <v>18.668750000000003</v>
      </c>
      <c r="J8" s="61">
        <f>'1A'!J22</f>
        <v>19.602187500000003</v>
      </c>
      <c r="K8" s="61">
        <f>'1A'!K22</f>
        <v>20.535625000000003</v>
      </c>
      <c r="L8" s="61">
        <f>'1A'!L22</f>
        <v>21.562406250000006</v>
      </c>
      <c r="M8" s="61">
        <f>'1A'!M22</f>
        <v>22.589187500000005</v>
      </c>
      <c r="N8" s="61" t="s">
        <v>57</v>
      </c>
      <c r="O8" s="62" t="s">
        <v>57</v>
      </c>
      <c r="P8" s="1"/>
      <c r="U8" s="1">
        <v>3</v>
      </c>
      <c r="V8" s="46">
        <f t="shared" si="0"/>
        <v>18.847691124270874</v>
      </c>
      <c r="W8" s="46">
        <f t="shared" si="1"/>
        <v>22.114622041015622</v>
      </c>
      <c r="X8" s="46">
        <f t="shared" si="2"/>
        <v>24.326084245117187</v>
      </c>
      <c r="Y8" s="46">
        <f t="shared" si="3"/>
        <v>26.758692669628907</v>
      </c>
      <c r="Z8" s="46" t="e">
        <f t="shared" si="4"/>
        <v>#VALUE!</v>
      </c>
      <c r="AA8" s="46" t="e">
        <f t="shared" si="4"/>
        <v>#VALUE!</v>
      </c>
    </row>
    <row r="9" spans="1:27" x14ac:dyDescent="0.2">
      <c r="A9" s="285" t="s">
        <v>133</v>
      </c>
      <c r="B9" s="286"/>
      <c r="C9" s="286"/>
      <c r="D9" s="286"/>
      <c r="E9" s="286"/>
      <c r="F9" s="286"/>
      <c r="G9" s="286"/>
      <c r="H9" s="287"/>
      <c r="I9" s="55">
        <f>I8-H8</f>
        <v>2.7578819316406271</v>
      </c>
      <c r="J9" s="55">
        <f t="shared" ref="J9:M9" si="6">J8-I8</f>
        <v>0.93343750000000014</v>
      </c>
      <c r="K9" s="55">
        <f t="shared" si="6"/>
        <v>0.93343750000000014</v>
      </c>
      <c r="L9" s="55">
        <f t="shared" si="6"/>
        <v>1.0267812500000026</v>
      </c>
      <c r="M9" s="55">
        <f t="shared" si="6"/>
        <v>1.0267812499999991</v>
      </c>
      <c r="N9" s="55" t="s">
        <v>292</v>
      </c>
      <c r="O9" s="55" t="s">
        <v>292</v>
      </c>
      <c r="P9" s="1"/>
      <c r="U9" s="1">
        <v>4</v>
      </c>
      <c r="V9" s="46">
        <f t="shared" si="0"/>
        <v>19.318883402377644</v>
      </c>
      <c r="W9" s="46">
        <f t="shared" si="1"/>
        <v>22.667487592041009</v>
      </c>
      <c r="X9" s="46">
        <f t="shared" si="2"/>
        <v>24.934236351245115</v>
      </c>
      <c r="Y9" s="46">
        <f t="shared" si="3"/>
        <v>27.427659986369626</v>
      </c>
      <c r="Z9" s="46" t="e">
        <f t="shared" si="4"/>
        <v>#VALUE!</v>
      </c>
      <c r="AA9" s="46" t="e">
        <f t="shared" si="4"/>
        <v>#VALUE!</v>
      </c>
    </row>
    <row r="10" spans="1:27" x14ac:dyDescent="0.2">
      <c r="P10" s="1"/>
      <c r="Q10" s="40"/>
      <c r="U10" s="1">
        <v>5</v>
      </c>
      <c r="V10" s="46">
        <f t="shared" si="0"/>
        <v>19.801855487437084</v>
      </c>
      <c r="W10" s="46">
        <f t="shared" si="1"/>
        <v>23.234174781842032</v>
      </c>
      <c r="X10" s="46">
        <f t="shared" si="2"/>
        <v>25.55759226002624</v>
      </c>
      <c r="Y10" s="46">
        <f t="shared" si="3"/>
        <v>28.113351486028865</v>
      </c>
      <c r="Z10" s="46" t="e">
        <f t="shared" si="4"/>
        <v>#VALUE!</v>
      </c>
      <c r="AA10" s="46" t="e">
        <f t="shared" si="4"/>
        <v>#VALUE!</v>
      </c>
    </row>
    <row r="11" spans="1:27" x14ac:dyDescent="0.2">
      <c r="P11" s="1"/>
      <c r="Q11" s="40"/>
      <c r="U11" s="1">
        <v>6</v>
      </c>
      <c r="V11" s="46">
        <f t="shared" si="0"/>
        <v>20.296901874623011</v>
      </c>
      <c r="W11" s="46">
        <f t="shared" si="1"/>
        <v>23.815029151388082</v>
      </c>
      <c r="X11" s="46">
        <f t="shared" si="2"/>
        <v>26.196532066526895</v>
      </c>
      <c r="Y11" s="46">
        <f t="shared" si="3"/>
        <v>28.816185273179585</v>
      </c>
      <c r="Z11" s="46" t="e">
        <f t="shared" si="4"/>
        <v>#VALUE!</v>
      </c>
      <c r="AA11" s="46" t="e">
        <f t="shared" si="4"/>
        <v>#VALUE!</v>
      </c>
    </row>
    <row r="12" spans="1:27" x14ac:dyDescent="0.2">
      <c r="P12" s="1"/>
      <c r="Q12" s="40"/>
      <c r="U12" s="1">
        <v>7</v>
      </c>
      <c r="V12" s="46">
        <f t="shared" si="0"/>
        <v>20.804324421488584</v>
      </c>
      <c r="W12" s="46">
        <f t="shared" si="1"/>
        <v>24.410404880172781</v>
      </c>
      <c r="X12" s="46">
        <f t="shared" si="2"/>
        <v>26.851445368190067</v>
      </c>
      <c r="Y12" s="46">
        <f t="shared" si="3"/>
        <v>29.536589905009073</v>
      </c>
      <c r="Z12" s="46" t="e">
        <f t="shared" si="4"/>
        <v>#VALUE!</v>
      </c>
      <c r="AA12" s="46" t="e">
        <f t="shared" si="4"/>
        <v>#VALUE!</v>
      </c>
    </row>
    <row r="13" spans="1:27" x14ac:dyDescent="0.2">
      <c r="U13" s="1">
        <v>8</v>
      </c>
      <c r="V13" s="46">
        <f t="shared" si="0"/>
        <v>21.324432532025796</v>
      </c>
      <c r="W13" s="46">
        <f t="shared" si="1"/>
        <v>25.020665002177097</v>
      </c>
      <c r="X13" s="46">
        <f t="shared" si="2"/>
        <v>27.522731502394816</v>
      </c>
      <c r="Y13" s="46">
        <f t="shared" si="3"/>
        <v>30.275004652634298</v>
      </c>
      <c r="Z13" s="46" t="e">
        <f t="shared" ref="Z13:AA13" si="7">Z12+0.15</f>
        <v>#VALUE!</v>
      </c>
      <c r="AA13" s="46" t="e">
        <f t="shared" si="7"/>
        <v>#VALUE!</v>
      </c>
    </row>
    <row r="14" spans="1:27" ht="15.75" x14ac:dyDescent="0.25">
      <c r="T14" s="28"/>
      <c r="U14" s="1">
        <v>9</v>
      </c>
      <c r="V14" s="46">
        <f t="shared" si="0"/>
        <v>21.857543345326437</v>
      </c>
      <c r="W14" s="46">
        <f t="shared" si="1"/>
        <v>25.64618162723152</v>
      </c>
      <c r="X14" s="46">
        <f t="shared" si="2"/>
        <v>28.210799789954685</v>
      </c>
      <c r="Y14" s="46">
        <f t="shared" si="3"/>
        <v>31.031879768950152</v>
      </c>
      <c r="Z14" s="46" t="e">
        <f t="shared" ref="Z14:AA14" si="8">Z13+0.15</f>
        <v>#VALUE!</v>
      </c>
      <c r="AA14" s="46" t="e">
        <f t="shared" si="8"/>
        <v>#VALUE!</v>
      </c>
    </row>
    <row r="15" spans="1:27" ht="16.5" thickBot="1" x14ac:dyDescent="0.3">
      <c r="A15" s="28" t="s">
        <v>293</v>
      </c>
      <c r="B15" s="28"/>
      <c r="C15" s="28"/>
      <c r="D15" s="28"/>
      <c r="E15" s="28"/>
      <c r="F15" s="28"/>
      <c r="G15" s="28"/>
      <c r="H15" s="28"/>
      <c r="I15" s="28"/>
      <c r="J15" s="28"/>
      <c r="K15" s="28"/>
      <c r="L15" s="28"/>
      <c r="M15" s="28"/>
      <c r="N15" s="28"/>
      <c r="O15" s="28"/>
      <c r="P15" s="28"/>
      <c r="Q15" s="28"/>
      <c r="R15" s="28"/>
      <c r="S15" s="28"/>
      <c r="T15" s="63"/>
      <c r="U15" s="1">
        <v>10</v>
      </c>
      <c r="V15" s="46">
        <f t="shared" si="0"/>
        <v>22.403981928959595</v>
      </c>
      <c r="W15" s="46">
        <f t="shared" si="1"/>
        <v>26.287336167912308</v>
      </c>
      <c r="X15" s="46">
        <f t="shared" si="2"/>
        <v>28.916069784703549</v>
      </c>
      <c r="Y15" s="46">
        <f t="shared" si="3"/>
        <v>31.807676763173902</v>
      </c>
      <c r="Z15" s="46" t="e">
        <f t="shared" si="4"/>
        <v>#VALUE!</v>
      </c>
      <c r="AA15" s="46" t="e">
        <f t="shared" si="4"/>
        <v>#VALUE!</v>
      </c>
    </row>
    <row r="16" spans="1:27" ht="15.75" thickBot="1" x14ac:dyDescent="0.3">
      <c r="A16" s="298" t="s">
        <v>135</v>
      </c>
      <c r="B16" s="303" t="s">
        <v>32</v>
      </c>
      <c r="C16" s="282"/>
      <c r="D16" s="282"/>
      <c r="E16" s="282" t="s">
        <v>32</v>
      </c>
      <c r="F16" s="282"/>
      <c r="G16" s="282"/>
      <c r="H16" s="282" t="s">
        <v>33</v>
      </c>
      <c r="I16" s="282"/>
      <c r="J16" s="282"/>
      <c r="K16" s="282" t="s">
        <v>34</v>
      </c>
      <c r="L16" s="282"/>
      <c r="M16" s="282"/>
      <c r="N16" s="282" t="s">
        <v>34</v>
      </c>
      <c r="O16" s="282"/>
      <c r="P16" s="297"/>
      <c r="Q16" s="282" t="s">
        <v>34</v>
      </c>
      <c r="R16" s="282"/>
      <c r="S16" s="297"/>
      <c r="T16" s="64"/>
      <c r="U16" s="1">
        <v>11</v>
      </c>
      <c r="V16" s="46">
        <f t="shared" si="0"/>
        <v>22.964081477183584</v>
      </c>
      <c r="W16" s="46">
        <f t="shared" si="1"/>
        <v>26.944519572110114</v>
      </c>
      <c r="X16" s="46">
        <f t="shared" si="2"/>
        <v>29.638971529321136</v>
      </c>
      <c r="Y16" s="46">
        <f t="shared" si="3"/>
        <v>32.602868682253245</v>
      </c>
      <c r="Z16" s="46" t="e">
        <f t="shared" si="4"/>
        <v>#VALUE!</v>
      </c>
      <c r="AA16" s="46" t="e">
        <f t="shared" si="4"/>
        <v>#VALUE!</v>
      </c>
    </row>
    <row r="17" spans="1:27" ht="15" x14ac:dyDescent="0.2">
      <c r="A17" s="299"/>
      <c r="B17" s="304" t="s">
        <v>136</v>
      </c>
      <c r="C17" s="305"/>
      <c r="D17" s="305"/>
      <c r="E17" s="276" t="s">
        <v>127</v>
      </c>
      <c r="F17" s="277"/>
      <c r="G17" s="278"/>
      <c r="H17" s="276" t="s">
        <v>42</v>
      </c>
      <c r="I17" s="277"/>
      <c r="J17" s="278"/>
      <c r="K17" s="294" t="s">
        <v>137</v>
      </c>
      <c r="L17" s="295"/>
      <c r="M17" s="296"/>
      <c r="N17" s="294" t="s">
        <v>44</v>
      </c>
      <c r="O17" s="295"/>
      <c r="P17" s="296"/>
      <c r="Q17" s="294" t="s">
        <v>138</v>
      </c>
      <c r="R17" s="295"/>
      <c r="S17" s="296"/>
      <c r="T17" s="71"/>
      <c r="U17" s="1">
        <v>12</v>
      </c>
      <c r="V17" s="46">
        <f t="shared" si="0"/>
        <v>23.538183514113172</v>
      </c>
      <c r="W17" s="46">
        <f t="shared" si="1"/>
        <v>27.618132561412864</v>
      </c>
      <c r="X17" s="46">
        <f t="shared" si="2"/>
        <v>30.379945817554162</v>
      </c>
      <c r="Y17" s="46">
        <f t="shared" si="3"/>
        <v>33.417940399309572</v>
      </c>
      <c r="Z17" s="46" t="e">
        <f t="shared" si="4"/>
        <v>#VALUE!</v>
      </c>
      <c r="AA17" s="46" t="e">
        <f t="shared" si="4"/>
        <v>#VALUE!</v>
      </c>
    </row>
    <row r="18" spans="1:27" ht="15" thickBot="1" x14ac:dyDescent="0.25">
      <c r="A18" s="300"/>
      <c r="B18" s="65" t="s">
        <v>139</v>
      </c>
      <c r="C18" s="66" t="s">
        <v>140</v>
      </c>
      <c r="D18" s="66" t="s">
        <v>141</v>
      </c>
      <c r="E18" s="67" t="s">
        <v>139</v>
      </c>
      <c r="F18" s="68" t="s">
        <v>140</v>
      </c>
      <c r="G18" s="69" t="s">
        <v>141</v>
      </c>
      <c r="H18" s="66" t="s">
        <v>139</v>
      </c>
      <c r="I18" s="66" t="s">
        <v>140</v>
      </c>
      <c r="J18" s="70" t="s">
        <v>141</v>
      </c>
      <c r="K18" s="65" t="s">
        <v>139</v>
      </c>
      <c r="L18" s="66" t="s">
        <v>140</v>
      </c>
      <c r="M18" s="70" t="s">
        <v>141</v>
      </c>
      <c r="N18" s="65" t="s">
        <v>139</v>
      </c>
      <c r="O18" s="66" t="s">
        <v>140</v>
      </c>
      <c r="P18" s="70" t="s">
        <v>141</v>
      </c>
      <c r="Q18" s="65" t="s">
        <v>139</v>
      </c>
      <c r="R18" s="66" t="s">
        <v>140</v>
      </c>
      <c r="S18" s="70" t="s">
        <v>141</v>
      </c>
      <c r="T18" s="73"/>
      <c r="U18" s="1">
        <v>13</v>
      </c>
      <c r="V18" s="46">
        <f t="shared" si="0"/>
        <v>24.126638101965998</v>
      </c>
      <c r="W18" s="46">
        <f t="shared" si="1"/>
        <v>28.308585875448184</v>
      </c>
      <c r="X18" s="46">
        <f t="shared" si="2"/>
        <v>31.139444462993012</v>
      </c>
      <c r="Y18" s="46">
        <f t="shared" si="3"/>
        <v>34.253388909292305</v>
      </c>
      <c r="Z18" s="46" t="e">
        <f t="shared" si="4"/>
        <v>#VALUE!</v>
      </c>
      <c r="AA18" s="46" t="e">
        <f t="shared" si="4"/>
        <v>#VALUE!</v>
      </c>
    </row>
    <row r="19" spans="1:27" x14ac:dyDescent="0.2">
      <c r="A19" s="72" t="s">
        <v>142</v>
      </c>
      <c r="B19" s="73">
        <f>F6</f>
        <v>17.501954875195317</v>
      </c>
      <c r="C19" s="73">
        <f>MEDIAN(B19,D19)</f>
        <v>18.174822999733099</v>
      </c>
      <c r="D19" s="73">
        <f>B19*((1.025)^3)</f>
        <v>18.847691124270881</v>
      </c>
      <c r="E19" s="74">
        <f>I6</f>
        <v>20.535625000000003</v>
      </c>
      <c r="F19" s="73">
        <f>MEDIAN(E19,G19)</f>
        <v>21.325123520507816</v>
      </c>
      <c r="G19" s="75">
        <f>E19*((1.025)^3)</f>
        <v>22.114622041015625</v>
      </c>
      <c r="H19" s="73">
        <f>K6</f>
        <v>22.589187500000005</v>
      </c>
      <c r="I19" s="73">
        <f>MEDIAN(H19,J19)</f>
        <v>23.457635872558598</v>
      </c>
      <c r="J19" s="75">
        <f>H19*((1.025)^3)</f>
        <v>24.32608424511719</v>
      </c>
      <c r="K19" s="74">
        <f>M6</f>
        <v>24.848106250000008</v>
      </c>
      <c r="L19" s="73">
        <f>MEDIAN(K19,M19)</f>
        <v>25.803399459814457</v>
      </c>
      <c r="M19" s="75">
        <f>K19*((1.025)^3)</f>
        <v>26.75869266962891</v>
      </c>
      <c r="N19" s="74" t="s">
        <v>292</v>
      </c>
      <c r="O19" s="73" t="s">
        <v>292</v>
      </c>
      <c r="P19" s="75" t="s">
        <v>292</v>
      </c>
      <c r="Q19" s="74" t="s">
        <v>292</v>
      </c>
      <c r="R19" s="73" t="s">
        <v>292</v>
      </c>
      <c r="S19" s="75" t="s">
        <v>292</v>
      </c>
      <c r="T19" s="73"/>
      <c r="U19" s="1">
        <v>14</v>
      </c>
      <c r="V19" s="46">
        <f t="shared" si="0"/>
        <v>24.729804054515146</v>
      </c>
      <c r="W19" s="46">
        <f t="shared" si="1"/>
        <v>29.016300522334387</v>
      </c>
      <c r="X19" s="46">
        <f t="shared" si="2"/>
        <v>31.917930574567833</v>
      </c>
      <c r="Y19" s="46">
        <f t="shared" si="3"/>
        <v>35.109723632024611</v>
      </c>
      <c r="Z19" s="46" t="e">
        <f t="shared" si="4"/>
        <v>#VALUE!</v>
      </c>
      <c r="AA19" s="46" t="e">
        <f t="shared" si="4"/>
        <v>#VALUE!</v>
      </c>
    </row>
    <row r="20" spans="1:27" x14ac:dyDescent="0.2">
      <c r="A20" s="76" t="s">
        <v>143</v>
      </c>
      <c r="B20" s="73">
        <f>B19*((1.025)^4)</f>
        <v>19.318883402377651</v>
      </c>
      <c r="C20" s="73">
        <f t="shared" ref="C20:C24" si="9">MEDIAN(B20,D20)</f>
        <v>19.807892638500334</v>
      </c>
      <c r="D20" s="73">
        <f>B19*((1.025)^6)</f>
        <v>20.296901874623014</v>
      </c>
      <c r="E20" s="74">
        <f>E19*((1.025)^4)</f>
        <v>22.667487592041013</v>
      </c>
      <c r="F20" s="73">
        <f t="shared" ref="F20:F24" si="10">MEDIAN(E20,G20)</f>
        <v>23.241258371714551</v>
      </c>
      <c r="G20" s="75">
        <f>E19*((1.025)^6)</f>
        <v>23.815029151388085</v>
      </c>
      <c r="H20" s="73">
        <f>H19*((1.025)^4)</f>
        <v>24.934236351245119</v>
      </c>
      <c r="I20" s="73">
        <f t="shared" ref="I20:I24" si="11">MEDIAN(H20,J20)</f>
        <v>25.565384208886009</v>
      </c>
      <c r="J20" s="75">
        <f>H19*((1.025)^6)</f>
        <v>26.196532066526895</v>
      </c>
      <c r="K20" s="74">
        <f>K19*((1.025)^4)</f>
        <v>27.427659986369633</v>
      </c>
      <c r="L20" s="73">
        <f t="shared" ref="L20:L24" si="12">MEDIAN(K20,M20)</f>
        <v>28.121922629774609</v>
      </c>
      <c r="M20" s="75">
        <f>K19*((1.025)^6)</f>
        <v>28.816185273179588</v>
      </c>
      <c r="N20" s="74" t="s">
        <v>292</v>
      </c>
      <c r="O20" s="73" t="s">
        <v>292</v>
      </c>
      <c r="P20" s="75" t="s">
        <v>292</v>
      </c>
      <c r="Q20" s="74" t="s">
        <v>292</v>
      </c>
      <c r="R20" s="73" t="s">
        <v>292</v>
      </c>
      <c r="S20" s="75" t="s">
        <v>292</v>
      </c>
      <c r="T20" s="73"/>
      <c r="U20" s="1">
        <v>15</v>
      </c>
      <c r="V20" s="46">
        <f t="shared" si="0"/>
        <v>25.348049155878023</v>
      </c>
      <c r="W20" s="46">
        <f t="shared" si="1"/>
        <v>29.741708035392744</v>
      </c>
      <c r="X20" s="46">
        <f t="shared" si="2"/>
        <v>32.715878838932028</v>
      </c>
      <c r="Y20" s="46">
        <f t="shared" si="3"/>
        <v>35.987466722825225</v>
      </c>
      <c r="Z20" s="46" t="e">
        <f t="shared" si="4"/>
        <v>#VALUE!</v>
      </c>
      <c r="AA20" s="46" t="e">
        <f t="shared" si="4"/>
        <v>#VALUE!</v>
      </c>
    </row>
    <row r="21" spans="1:27" x14ac:dyDescent="0.2">
      <c r="A21" s="76" t="s">
        <v>144</v>
      </c>
      <c r="B21" s="73">
        <f>B19*((1.025)^7)</f>
        <v>20.804324421488591</v>
      </c>
      <c r="C21" s="73">
        <f t="shared" si="9"/>
        <v>21.330933883407518</v>
      </c>
      <c r="D21" s="73">
        <f>B19*((1.025)^9)</f>
        <v>21.857543345326444</v>
      </c>
      <c r="E21" s="74">
        <f>E19*((1.025)^7)</f>
        <v>24.410404880172791</v>
      </c>
      <c r="F21" s="73">
        <f t="shared" si="10"/>
        <v>25.028293253702159</v>
      </c>
      <c r="G21" s="75">
        <f>E19*((1.025)^9)</f>
        <v>25.646181627231531</v>
      </c>
      <c r="H21" s="73">
        <f>H19*((1.025)^7)</f>
        <v>26.85144536819007</v>
      </c>
      <c r="I21" s="73">
        <f t="shared" si="11"/>
        <v>27.531122579072377</v>
      </c>
      <c r="J21" s="75">
        <f>H19*((1.025)^9)</f>
        <v>28.210799789954685</v>
      </c>
      <c r="K21" s="74">
        <f>K19*((1.025)^7)</f>
        <v>29.53658990500908</v>
      </c>
      <c r="L21" s="73">
        <f t="shared" si="12"/>
        <v>30.284234836979621</v>
      </c>
      <c r="M21" s="75">
        <f>K19*((1.025)^9)</f>
        <v>31.031879768950159</v>
      </c>
      <c r="N21" s="74" t="s">
        <v>292</v>
      </c>
      <c r="O21" s="73" t="s">
        <v>292</v>
      </c>
      <c r="P21" s="75" t="s">
        <v>292</v>
      </c>
      <c r="Q21" s="74" t="s">
        <v>292</v>
      </c>
      <c r="R21" s="73" t="s">
        <v>292</v>
      </c>
      <c r="S21" s="75" t="s">
        <v>292</v>
      </c>
      <c r="T21" s="73"/>
      <c r="U21" s="1">
        <v>16</v>
      </c>
      <c r="V21" s="46">
        <f t="shared" si="0"/>
        <v>25.981750384774973</v>
      </c>
      <c r="W21" s="46">
        <f t="shared" si="1"/>
        <v>30.48525073627756</v>
      </c>
      <c r="X21" s="46">
        <f t="shared" si="2"/>
        <v>33.533775809905329</v>
      </c>
      <c r="Y21" s="46">
        <f t="shared" si="3"/>
        <v>36.887153390895854</v>
      </c>
      <c r="Z21" s="46" t="e">
        <f t="shared" si="4"/>
        <v>#VALUE!</v>
      </c>
      <c r="AA21" s="46" t="e">
        <f t="shared" si="4"/>
        <v>#VALUE!</v>
      </c>
    </row>
    <row r="22" spans="1:27" x14ac:dyDescent="0.2">
      <c r="A22" s="76" t="s">
        <v>145</v>
      </c>
      <c r="B22" s="73">
        <f>B19*((1.025)^10)</f>
        <v>22.403981928959606</v>
      </c>
      <c r="C22" s="73">
        <f t="shared" si="9"/>
        <v>22.971082721536398</v>
      </c>
      <c r="D22" s="73">
        <f>B19*((1.025)^12)</f>
        <v>23.538183514113186</v>
      </c>
      <c r="E22" s="74">
        <f>E19*((1.025)^10)</f>
        <v>26.287336167912319</v>
      </c>
      <c r="F22" s="73">
        <f t="shared" si="10"/>
        <v>26.952734364662597</v>
      </c>
      <c r="G22" s="75">
        <f>E19*((1.025)^12)</f>
        <v>27.618132561412878</v>
      </c>
      <c r="H22" s="73">
        <f>H19*((1.025)^10)</f>
        <v>28.916069784703552</v>
      </c>
      <c r="I22" s="73">
        <f t="shared" si="11"/>
        <v>29.648007801128859</v>
      </c>
      <c r="J22" s="75">
        <f>H19*((1.025)^12)</f>
        <v>30.379945817554166</v>
      </c>
      <c r="K22" s="74">
        <f>K19*((1.025)^10)</f>
        <v>31.807676763173912</v>
      </c>
      <c r="L22" s="73">
        <f t="shared" si="12"/>
        <v>32.612808581241751</v>
      </c>
      <c r="M22" s="75">
        <f>K19*((1.025)^12)</f>
        <v>33.417940399309586</v>
      </c>
      <c r="N22" s="74" t="s">
        <v>292</v>
      </c>
      <c r="O22" s="73" t="s">
        <v>292</v>
      </c>
      <c r="P22" s="75" t="s">
        <v>292</v>
      </c>
      <c r="Q22" s="74" t="s">
        <v>292</v>
      </c>
      <c r="R22" s="73" t="s">
        <v>292</v>
      </c>
      <c r="S22" s="75" t="s">
        <v>292</v>
      </c>
      <c r="T22" s="73"/>
      <c r="U22" s="1">
        <v>17</v>
      </c>
      <c r="V22" s="46">
        <f t="shared" si="0"/>
        <v>26.631294144394346</v>
      </c>
      <c r="W22" s="46">
        <f t="shared" si="1"/>
        <v>31.247382004684496</v>
      </c>
      <c r="X22" s="46">
        <f t="shared" si="2"/>
        <v>34.37212020515296</v>
      </c>
      <c r="Y22" s="46">
        <f t="shared" si="3"/>
        <v>37.80933222566825</v>
      </c>
      <c r="Z22" s="46" t="e">
        <f t="shared" ref="Z22:AA22" si="13">Z21+0.15</f>
        <v>#VALUE!</v>
      </c>
      <c r="AA22" s="46" t="e">
        <f t="shared" si="13"/>
        <v>#VALUE!</v>
      </c>
    </row>
    <row r="23" spans="1:27" x14ac:dyDescent="0.2">
      <c r="A23" s="76" t="s">
        <v>146</v>
      </c>
      <c r="B23" s="73">
        <f>B19*((1.025)^13)</f>
        <v>24.126638101966012</v>
      </c>
      <c r="C23" s="73">
        <f t="shared" si="9"/>
        <v>24.737343628922027</v>
      </c>
      <c r="D23" s="73">
        <f>B19*((1.025)^15)</f>
        <v>25.348049155878044</v>
      </c>
      <c r="E23" s="74">
        <f>E19*((1.025)^13)</f>
        <v>28.308585875448198</v>
      </c>
      <c r="F23" s="73">
        <f t="shared" si="10"/>
        <v>29.025146955420482</v>
      </c>
      <c r="G23" s="75">
        <f>E19*((1.025)^15)</f>
        <v>29.741708035392765</v>
      </c>
      <c r="H23" s="73">
        <f>H19*((1.025)^13)</f>
        <v>31.139444462993019</v>
      </c>
      <c r="I23" s="73">
        <f t="shared" si="11"/>
        <v>31.927661650962531</v>
      </c>
      <c r="J23" s="75">
        <f>H19*((1.025)^15)</f>
        <v>32.715878838932042</v>
      </c>
      <c r="K23" s="74">
        <f>K19*((1.025)^13)</f>
        <v>34.253388909292326</v>
      </c>
      <c r="L23" s="73">
        <f t="shared" si="12"/>
        <v>35.120427816058793</v>
      </c>
      <c r="M23" s="75">
        <f>K19*((1.025)^15)</f>
        <v>35.987466722825253</v>
      </c>
      <c r="N23" s="74" t="s">
        <v>292</v>
      </c>
      <c r="O23" s="73" t="s">
        <v>292</v>
      </c>
      <c r="P23" s="75" t="s">
        <v>292</v>
      </c>
      <c r="Q23" s="74" t="s">
        <v>292</v>
      </c>
      <c r="R23" s="73" t="s">
        <v>292</v>
      </c>
      <c r="S23" s="75" t="s">
        <v>292</v>
      </c>
      <c r="T23" s="73"/>
      <c r="U23" s="1">
        <v>18</v>
      </c>
      <c r="V23" s="46">
        <f t="shared" si="0"/>
        <v>27.297076498004202</v>
      </c>
      <c r="W23" s="46">
        <f t="shared" si="1"/>
        <v>32.028566554801607</v>
      </c>
      <c r="X23" s="46">
        <f t="shared" si="2"/>
        <v>35.231423210281783</v>
      </c>
      <c r="Y23" s="46">
        <f t="shared" si="3"/>
        <v>38.75456553130995</v>
      </c>
      <c r="Z23" s="46" t="e">
        <f t="shared" ref="Z23:AA25" si="14">Z22+0.15</f>
        <v>#VALUE!</v>
      </c>
      <c r="AA23" s="46" t="e">
        <f t="shared" si="14"/>
        <v>#VALUE!</v>
      </c>
    </row>
    <row r="24" spans="1:27" x14ac:dyDescent="0.2">
      <c r="A24" s="76" t="s">
        <v>147</v>
      </c>
      <c r="B24" s="73">
        <f>B19*((1.025)^16)</f>
        <v>25.981750384774994</v>
      </c>
      <c r="C24" s="73">
        <f t="shared" si="9"/>
        <v>27.330370690245338</v>
      </c>
      <c r="D24" s="73">
        <f>B19*((1.025)^20)</f>
        <v>28.678990995715683</v>
      </c>
      <c r="E24" s="74">
        <f>E19*((1.025)^16)</f>
        <v>30.485250736277582</v>
      </c>
      <c r="F24" s="73">
        <f t="shared" si="10"/>
        <v>32.067631736458019</v>
      </c>
      <c r="G24" s="75">
        <f>E19*((1.025)^20)</f>
        <v>33.650012736638459</v>
      </c>
      <c r="H24" s="74">
        <f>H19*((1.025)^16)</f>
        <v>33.533775809905343</v>
      </c>
      <c r="I24" s="73">
        <f t="shared" si="11"/>
        <v>35.274394910103823</v>
      </c>
      <c r="J24" s="75">
        <f>H19*((1.025)^20)</f>
        <v>37.015014010302309</v>
      </c>
      <c r="K24" s="73">
        <f>K19*((1.025)^16)</f>
        <v>36.887153390895882</v>
      </c>
      <c r="L24" s="73">
        <f t="shared" si="12"/>
        <v>38.801834401114213</v>
      </c>
      <c r="M24" s="75">
        <f>K19*((1.025)^20)</f>
        <v>40.716515411332544</v>
      </c>
      <c r="N24" s="73" t="s">
        <v>292</v>
      </c>
      <c r="O24" s="73" t="s">
        <v>292</v>
      </c>
      <c r="P24" s="73" t="s">
        <v>292</v>
      </c>
      <c r="Q24" s="74" t="s">
        <v>292</v>
      </c>
      <c r="R24" s="73" t="s">
        <v>292</v>
      </c>
      <c r="S24" s="75" t="s">
        <v>292</v>
      </c>
      <c r="U24" s="1">
        <v>19</v>
      </c>
      <c r="V24" s="46">
        <f t="shared" si="0"/>
        <v>27.979503410454306</v>
      </c>
      <c r="W24" s="46">
        <f t="shared" si="1"/>
        <v>32.829280718671647</v>
      </c>
      <c r="X24" s="46">
        <f t="shared" si="2"/>
        <v>36.112208790538823</v>
      </c>
      <c r="Y24" s="46">
        <f t="shared" si="3"/>
        <v>39.723429669592697</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28.678990995715662</v>
      </c>
      <c r="W25" s="46">
        <f t="shared" si="1"/>
        <v>33.650012736638438</v>
      </c>
      <c r="X25" s="46">
        <f t="shared" si="2"/>
        <v>37.015014010302288</v>
      </c>
      <c r="Y25" s="46">
        <f t="shared" si="3"/>
        <v>40.716515411332509</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310" t="s">
        <v>264</v>
      </c>
      <c r="W28" s="310"/>
      <c r="X28" s="310"/>
      <c r="Y28" s="310"/>
      <c r="Z28" s="310"/>
      <c r="AA28" s="310"/>
    </row>
    <row r="29" spans="1:27" ht="16.5" thickBot="1" x14ac:dyDescent="0.3">
      <c r="A29" s="28" t="s">
        <v>294</v>
      </c>
      <c r="B29" s="28"/>
      <c r="C29" s="28"/>
      <c r="D29" s="28"/>
      <c r="E29" s="28"/>
      <c r="F29" s="28"/>
      <c r="G29" s="28"/>
      <c r="H29" s="28"/>
      <c r="I29" s="28"/>
      <c r="J29" s="28"/>
      <c r="K29" s="28"/>
      <c r="L29" s="28"/>
      <c r="M29" s="28"/>
      <c r="N29" s="28"/>
      <c r="O29" s="28"/>
      <c r="P29" s="28"/>
      <c r="Q29" s="28"/>
      <c r="R29" s="28"/>
      <c r="S29" s="28"/>
      <c r="U29" s="1" t="s">
        <v>128</v>
      </c>
      <c r="V29" s="44" t="s">
        <v>129</v>
      </c>
      <c r="W29" s="44" t="s">
        <v>47</v>
      </c>
      <c r="X29" s="44" t="s">
        <v>49</v>
      </c>
      <c r="Y29" s="44" t="s">
        <v>130</v>
      </c>
      <c r="Z29" s="44" t="s">
        <v>131</v>
      </c>
      <c r="AA29" s="44" t="s">
        <v>132</v>
      </c>
    </row>
    <row r="30" spans="1:27" ht="15.75" thickBot="1" x14ac:dyDescent="0.3">
      <c r="A30" s="298" t="s">
        <v>135</v>
      </c>
      <c r="B30" s="303" t="s">
        <v>32</v>
      </c>
      <c r="C30" s="282"/>
      <c r="D30" s="282"/>
      <c r="E30" s="282" t="s">
        <v>32</v>
      </c>
      <c r="F30" s="282"/>
      <c r="G30" s="282"/>
      <c r="H30" s="282" t="s">
        <v>33</v>
      </c>
      <c r="I30" s="282"/>
      <c r="J30" s="282"/>
      <c r="K30" s="282" t="s">
        <v>34</v>
      </c>
      <c r="L30" s="282"/>
      <c r="M30" s="282"/>
      <c r="N30" s="282" t="s">
        <v>34</v>
      </c>
      <c r="O30" s="282"/>
      <c r="P30" s="297"/>
      <c r="Q30" s="282" t="s">
        <v>34</v>
      </c>
      <c r="R30" s="282"/>
      <c r="S30" s="297"/>
      <c r="U30" s="1">
        <v>0</v>
      </c>
      <c r="V30" s="46">
        <f>H8</f>
        <v>15.910868068359376</v>
      </c>
      <c r="W30" s="46">
        <f>I8</f>
        <v>18.668750000000003</v>
      </c>
      <c r="X30" s="46">
        <f>K8</f>
        <v>20.535625000000003</v>
      </c>
      <c r="Y30" s="46">
        <f>M8</f>
        <v>22.589187500000005</v>
      </c>
      <c r="Z30" s="46" t="str">
        <f>N8</f>
        <v>-</v>
      </c>
      <c r="AA30" s="46" t="str">
        <f>O8</f>
        <v>-</v>
      </c>
    </row>
    <row r="31" spans="1:27" ht="15" x14ac:dyDescent="0.2">
      <c r="A31" s="299"/>
      <c r="B31" s="304" t="s">
        <v>149</v>
      </c>
      <c r="C31" s="305"/>
      <c r="D31" s="311"/>
      <c r="E31" s="294" t="s">
        <v>127</v>
      </c>
      <c r="F31" s="295"/>
      <c r="G31" s="295"/>
      <c r="H31" s="276" t="s">
        <v>42</v>
      </c>
      <c r="I31" s="277"/>
      <c r="J31" s="278"/>
      <c r="K31" s="294" t="s">
        <v>43</v>
      </c>
      <c r="L31" s="295"/>
      <c r="M31" s="296"/>
      <c r="N31" s="294" t="s">
        <v>44</v>
      </c>
      <c r="O31" s="295"/>
      <c r="P31" s="296"/>
      <c r="Q31" s="294" t="s">
        <v>150</v>
      </c>
      <c r="R31" s="295"/>
      <c r="S31" s="296"/>
      <c r="U31" s="1">
        <v>1</v>
      </c>
      <c r="V31" s="46">
        <f t="shared" ref="V31:V50" si="15">V30*1.025</f>
        <v>16.308639770068357</v>
      </c>
      <c r="W31" s="46">
        <f t="shared" ref="W31:W50" si="16">W30*1.025</f>
        <v>19.135468750000001</v>
      </c>
      <c r="X31" s="46">
        <f t="shared" ref="X31:X50" si="17">X30*1.025</f>
        <v>21.049015625000003</v>
      </c>
      <c r="Y31" s="46">
        <f t="shared" ref="Y31:Y50" si="18">Y30*1.025</f>
        <v>23.153917187500003</v>
      </c>
      <c r="Z31" s="46" t="e">
        <f t="shared" ref="Z31:AA31" si="19">Z30+0.15</f>
        <v>#VALUE!</v>
      </c>
      <c r="AA31" s="46" t="e">
        <f t="shared" si="19"/>
        <v>#VALUE!</v>
      </c>
    </row>
    <row r="32" spans="1:27" ht="15" thickBot="1" x14ac:dyDescent="0.25">
      <c r="A32" s="300"/>
      <c r="B32" s="65" t="s">
        <v>139</v>
      </c>
      <c r="C32" s="66" t="s">
        <v>140</v>
      </c>
      <c r="D32" s="70" t="s">
        <v>141</v>
      </c>
      <c r="E32" s="68" t="s">
        <v>139</v>
      </c>
      <c r="F32" s="68" t="s">
        <v>140</v>
      </c>
      <c r="G32" s="68" t="s">
        <v>141</v>
      </c>
      <c r="H32" s="65" t="s">
        <v>139</v>
      </c>
      <c r="I32" s="66" t="s">
        <v>140</v>
      </c>
      <c r="J32" s="70" t="s">
        <v>141</v>
      </c>
      <c r="K32" s="65" t="s">
        <v>139</v>
      </c>
      <c r="L32" s="66" t="s">
        <v>140</v>
      </c>
      <c r="M32" s="70" t="s">
        <v>141</v>
      </c>
      <c r="N32" s="65" t="s">
        <v>139</v>
      </c>
      <c r="O32" s="66" t="s">
        <v>140</v>
      </c>
      <c r="P32" s="70" t="s">
        <v>141</v>
      </c>
      <c r="Q32" s="65" t="s">
        <v>139</v>
      </c>
      <c r="R32" s="66" t="s">
        <v>140</v>
      </c>
      <c r="S32" s="70" t="s">
        <v>141</v>
      </c>
      <c r="U32" s="1">
        <v>2</v>
      </c>
      <c r="V32" s="46">
        <f t="shared" si="15"/>
        <v>16.716355764320063</v>
      </c>
      <c r="W32" s="46">
        <f t="shared" si="16"/>
        <v>19.61385546875</v>
      </c>
      <c r="X32" s="46">
        <f t="shared" si="17"/>
        <v>21.575241015625</v>
      </c>
      <c r="Y32" s="46">
        <f t="shared" si="18"/>
        <v>23.732765117187501</v>
      </c>
      <c r="Z32" s="46" t="e">
        <f t="shared" ref="Z32:AA38" si="20">Z31+0.15</f>
        <v>#VALUE!</v>
      </c>
      <c r="AA32" s="46" t="e">
        <f t="shared" si="20"/>
        <v>#VALUE!</v>
      </c>
    </row>
    <row r="33" spans="1:27" x14ac:dyDescent="0.2">
      <c r="A33" s="72" t="s">
        <v>142</v>
      </c>
      <c r="B33" s="73">
        <f>F8</f>
        <v>15.910868068359376</v>
      </c>
      <c r="C33" s="73">
        <f>MEDIAN(B33,D33)</f>
        <v>16.522566363393722</v>
      </c>
      <c r="D33" s="75">
        <f>B33*((1.025)^3)</f>
        <v>17.134264658428069</v>
      </c>
      <c r="E33" s="73">
        <f>I8</f>
        <v>18.668750000000003</v>
      </c>
      <c r="F33" s="73">
        <f>MEDIAN(E33,G33)</f>
        <v>19.386475927734377</v>
      </c>
      <c r="G33" s="73">
        <f>E33*((1.025)^3)</f>
        <v>20.104201855468752</v>
      </c>
      <c r="H33" s="74">
        <f>K8</f>
        <v>20.535625000000003</v>
      </c>
      <c r="I33" s="73">
        <f>MEDIAN(H33,J33)</f>
        <v>21.325123520507816</v>
      </c>
      <c r="J33" s="75">
        <f>H33*((1.025)^3)</f>
        <v>22.114622041015625</v>
      </c>
      <c r="K33" s="74">
        <f>M8</f>
        <v>22.589187500000005</v>
      </c>
      <c r="L33" s="73">
        <f>MEDIAN(K33,M33)</f>
        <v>23.457635872558598</v>
      </c>
      <c r="M33" s="75">
        <f>K33*((1.025)^3)</f>
        <v>24.32608424511719</v>
      </c>
      <c r="N33" s="74" t="s">
        <v>292</v>
      </c>
      <c r="O33" s="73" t="s">
        <v>292</v>
      </c>
      <c r="P33" s="75" t="s">
        <v>292</v>
      </c>
      <c r="Q33" s="74" t="s">
        <v>292</v>
      </c>
      <c r="R33" s="73" t="s">
        <v>292</v>
      </c>
      <c r="S33" s="75" t="s">
        <v>292</v>
      </c>
      <c r="U33" s="1">
        <v>3</v>
      </c>
      <c r="V33" s="46">
        <f t="shared" si="15"/>
        <v>17.134264658428062</v>
      </c>
      <c r="W33" s="46">
        <f t="shared" si="16"/>
        <v>20.104201855468748</v>
      </c>
      <c r="X33" s="46">
        <f t="shared" si="17"/>
        <v>22.114622041015622</v>
      </c>
      <c r="Y33" s="46">
        <f t="shared" si="18"/>
        <v>24.326084245117187</v>
      </c>
      <c r="Z33" s="46" t="e">
        <f t="shared" si="20"/>
        <v>#VALUE!</v>
      </c>
      <c r="AA33" s="46" t="e">
        <f t="shared" si="20"/>
        <v>#VALUE!</v>
      </c>
    </row>
    <row r="34" spans="1:27" x14ac:dyDescent="0.2">
      <c r="A34" s="76" t="s">
        <v>143</v>
      </c>
      <c r="B34" s="73">
        <f>B33*((1.025)^4)</f>
        <v>17.56262127488877</v>
      </c>
      <c r="C34" s="73">
        <f t="shared" ref="C34:C38" si="21">MEDIAN(B34,D34)</f>
        <v>18.007175125909392</v>
      </c>
      <c r="D34" s="75">
        <f>B33*((1.025)^6)</f>
        <v>18.45172897693001</v>
      </c>
      <c r="E34" s="73">
        <f>E33*((1.025)^4)</f>
        <v>20.606806901855467</v>
      </c>
      <c r="F34" s="73">
        <f t="shared" ref="F34:F38" si="22">MEDIAN(E34,G34)</f>
        <v>21.128416701558685</v>
      </c>
      <c r="G34" s="73">
        <f>E33*((1.025)^6)</f>
        <v>21.650026501261898</v>
      </c>
      <c r="H34" s="74">
        <f>H33*((1.025)^4)</f>
        <v>22.667487592041013</v>
      </c>
      <c r="I34" s="73">
        <f t="shared" ref="I34:I38" si="23">MEDIAN(H34,J34)</f>
        <v>23.241258371714551</v>
      </c>
      <c r="J34" s="75">
        <f>H33*((1.025)^6)</f>
        <v>23.815029151388085</v>
      </c>
      <c r="K34" s="74">
        <f>K33*((1.025)^4)</f>
        <v>24.934236351245119</v>
      </c>
      <c r="L34" s="73">
        <f t="shared" ref="L34:L38" si="24">MEDIAN(K34,M34)</f>
        <v>25.565384208886009</v>
      </c>
      <c r="M34" s="75">
        <f>K33*((1.025)^6)</f>
        <v>26.196532066526895</v>
      </c>
      <c r="N34" s="74" t="s">
        <v>292</v>
      </c>
      <c r="O34" s="73" t="s">
        <v>292</v>
      </c>
      <c r="P34" s="75" t="s">
        <v>292</v>
      </c>
      <c r="Q34" s="74" t="s">
        <v>292</v>
      </c>
      <c r="R34" s="73" t="s">
        <v>292</v>
      </c>
      <c r="S34" s="75" t="s">
        <v>292</v>
      </c>
      <c r="U34" s="1">
        <v>4</v>
      </c>
      <c r="V34" s="46">
        <f t="shared" si="15"/>
        <v>17.562621274888762</v>
      </c>
      <c r="W34" s="46">
        <f t="shared" si="16"/>
        <v>20.606806901855464</v>
      </c>
      <c r="X34" s="46">
        <f t="shared" si="17"/>
        <v>22.667487592041009</v>
      </c>
      <c r="Y34" s="46">
        <f t="shared" si="18"/>
        <v>24.934236351245115</v>
      </c>
      <c r="Z34" s="46" t="e">
        <f t="shared" si="20"/>
        <v>#VALUE!</v>
      </c>
      <c r="AA34" s="46" t="e">
        <f t="shared" si="20"/>
        <v>#VALUE!</v>
      </c>
    </row>
    <row r="35" spans="1:27" x14ac:dyDescent="0.2">
      <c r="A35" s="76" t="s">
        <v>144</v>
      </c>
      <c r="B35" s="73">
        <f>B33*((1.025)^7)</f>
        <v>18.913022201353261</v>
      </c>
      <c r="C35" s="73">
        <f t="shared" si="21"/>
        <v>19.391758075825013</v>
      </c>
      <c r="D35" s="75">
        <f>B33*((1.025)^9)</f>
        <v>19.870493950296765</v>
      </c>
      <c r="E35" s="73">
        <f>E33*((1.025)^7)</f>
        <v>22.191277163793444</v>
      </c>
      <c r="F35" s="73">
        <f t="shared" si="22"/>
        <v>22.752993867001962</v>
      </c>
      <c r="G35" s="73">
        <f>E33*((1.025)^9)</f>
        <v>23.314710570210483</v>
      </c>
      <c r="H35" s="74">
        <f>H33*((1.025)^7)</f>
        <v>24.410404880172791</v>
      </c>
      <c r="I35" s="73">
        <f t="shared" si="23"/>
        <v>25.028293253702159</v>
      </c>
      <c r="J35" s="75">
        <f>H33*((1.025)^9)</f>
        <v>25.646181627231531</v>
      </c>
      <c r="K35" s="74">
        <f>K33*((1.025)^7)</f>
        <v>26.85144536819007</v>
      </c>
      <c r="L35" s="73">
        <f t="shared" si="24"/>
        <v>27.531122579072377</v>
      </c>
      <c r="M35" s="75">
        <f>K33*((1.025)^9)</f>
        <v>28.210799789954685</v>
      </c>
      <c r="N35" s="74" t="s">
        <v>292</v>
      </c>
      <c r="O35" s="73" t="s">
        <v>292</v>
      </c>
      <c r="P35" s="75" t="s">
        <v>292</v>
      </c>
      <c r="Q35" s="74" t="s">
        <v>292</v>
      </c>
      <c r="R35" s="73" t="s">
        <v>292</v>
      </c>
      <c r="S35" s="75" t="s">
        <v>292</v>
      </c>
      <c r="U35" s="1">
        <v>5</v>
      </c>
      <c r="V35" s="46">
        <f t="shared" si="15"/>
        <v>18.001686806760979</v>
      </c>
      <c r="W35" s="46">
        <f t="shared" si="16"/>
        <v>21.121977074401848</v>
      </c>
      <c r="X35" s="46">
        <f t="shared" si="17"/>
        <v>23.234174781842032</v>
      </c>
      <c r="Y35" s="46">
        <f t="shared" si="18"/>
        <v>25.55759226002624</v>
      </c>
      <c r="Z35" s="46" t="e">
        <f t="shared" si="20"/>
        <v>#VALUE!</v>
      </c>
      <c r="AA35" s="46" t="e">
        <f t="shared" si="20"/>
        <v>#VALUE!</v>
      </c>
    </row>
    <row r="36" spans="1:27" x14ac:dyDescent="0.2">
      <c r="A36" s="76" t="s">
        <v>145</v>
      </c>
      <c r="B36" s="73">
        <f>B33*((1.025)^10)</f>
        <v>20.367256299054183</v>
      </c>
      <c r="C36" s="73">
        <f t="shared" si="21"/>
        <v>20.882802474123991</v>
      </c>
      <c r="D36" s="75">
        <f>B33*((1.025)^12)</f>
        <v>21.3983486491938</v>
      </c>
      <c r="E36" s="73">
        <f>E33*((1.025)^10)</f>
        <v>23.897578334465745</v>
      </c>
      <c r="F36" s="73">
        <f t="shared" si="22"/>
        <v>24.502485786056909</v>
      </c>
      <c r="G36" s="73">
        <f>E33*((1.025)^12)</f>
        <v>25.107393237648072</v>
      </c>
      <c r="H36" s="74">
        <f>H33*((1.025)^10)</f>
        <v>26.287336167912319</v>
      </c>
      <c r="I36" s="73">
        <f t="shared" si="23"/>
        <v>26.952734364662597</v>
      </c>
      <c r="J36" s="75">
        <f>H33*((1.025)^12)</f>
        <v>27.618132561412878</v>
      </c>
      <c r="K36" s="74">
        <f>K33*((1.025)^10)</f>
        <v>28.916069784703552</v>
      </c>
      <c r="L36" s="73">
        <f t="shared" si="24"/>
        <v>29.648007801128859</v>
      </c>
      <c r="M36" s="75">
        <f>K33*((1.025)^12)</f>
        <v>30.379945817554166</v>
      </c>
      <c r="N36" s="74" t="s">
        <v>292</v>
      </c>
      <c r="O36" s="73" t="s">
        <v>292</v>
      </c>
      <c r="P36" s="75" t="s">
        <v>292</v>
      </c>
      <c r="Q36" s="74" t="s">
        <v>292</v>
      </c>
      <c r="R36" s="73" t="s">
        <v>292</v>
      </c>
      <c r="S36" s="75" t="s">
        <v>292</v>
      </c>
      <c r="T36" s="46"/>
      <c r="U36" s="1">
        <v>6</v>
      </c>
      <c r="V36" s="46">
        <f t="shared" si="15"/>
        <v>18.451728976930003</v>
      </c>
      <c r="W36" s="46">
        <f t="shared" si="16"/>
        <v>21.650026501261891</v>
      </c>
      <c r="X36" s="46">
        <f t="shared" si="17"/>
        <v>23.815029151388082</v>
      </c>
      <c r="Y36" s="46">
        <f t="shared" si="18"/>
        <v>26.196532066526895</v>
      </c>
      <c r="Z36" s="46" t="e">
        <f t="shared" si="20"/>
        <v>#VALUE!</v>
      </c>
      <c r="AA36" s="46" t="e">
        <f t="shared" si="20"/>
        <v>#VALUE!</v>
      </c>
    </row>
    <row r="37" spans="1:27" x14ac:dyDescent="0.2">
      <c r="A37" s="76" t="s">
        <v>146</v>
      </c>
      <c r="B37" s="73">
        <f>B33*((1.025)^13)</f>
        <v>21.933307365423644</v>
      </c>
      <c r="C37" s="73">
        <f t="shared" si="21"/>
        <v>22.488494208110929</v>
      </c>
      <c r="D37" s="73">
        <f>B33*((1.025)^15)</f>
        <v>23.043681050798217</v>
      </c>
      <c r="E37" s="74">
        <f>E33*((1.025)^13)</f>
        <v>25.735078068589271</v>
      </c>
      <c r="F37" s="73">
        <f t="shared" si="22"/>
        <v>26.386497232200437</v>
      </c>
      <c r="G37" s="75">
        <f>E33*((1.025)^15)</f>
        <v>27.037916395811603</v>
      </c>
      <c r="H37" s="73">
        <f>H33*((1.025)^13)</f>
        <v>28.308585875448198</v>
      </c>
      <c r="I37" s="73">
        <f t="shared" si="23"/>
        <v>29.025146955420482</v>
      </c>
      <c r="J37" s="75">
        <f>H33*((1.025)^15)</f>
        <v>29.741708035392765</v>
      </c>
      <c r="K37" s="74">
        <f>K33*((1.025)^13)</f>
        <v>31.139444462993019</v>
      </c>
      <c r="L37" s="73">
        <f t="shared" si="24"/>
        <v>31.927661650962531</v>
      </c>
      <c r="M37" s="75">
        <f>K33*((1.025)^15)</f>
        <v>32.715878838932042</v>
      </c>
      <c r="N37" s="74" t="s">
        <v>292</v>
      </c>
      <c r="O37" s="73" t="s">
        <v>292</v>
      </c>
      <c r="P37" s="75" t="s">
        <v>292</v>
      </c>
      <c r="Q37" s="74" t="s">
        <v>292</v>
      </c>
      <c r="R37" s="73" t="s">
        <v>292</v>
      </c>
      <c r="S37" s="75" t="s">
        <v>292</v>
      </c>
      <c r="U37" s="1">
        <v>7</v>
      </c>
      <c r="V37" s="46">
        <f t="shared" si="15"/>
        <v>18.91302220135325</v>
      </c>
      <c r="W37" s="46">
        <f t="shared" si="16"/>
        <v>22.191277163793437</v>
      </c>
      <c r="X37" s="46">
        <f t="shared" si="17"/>
        <v>24.410404880172781</v>
      </c>
      <c r="Y37" s="46">
        <f t="shared" si="18"/>
        <v>26.851445368190067</v>
      </c>
      <c r="Z37" s="46" t="e">
        <f t="shared" si="20"/>
        <v>#VALUE!</v>
      </c>
      <c r="AA37" s="46" t="e">
        <f t="shared" si="20"/>
        <v>#VALUE!</v>
      </c>
    </row>
    <row r="38" spans="1:27" x14ac:dyDescent="0.2">
      <c r="A38" s="76" t="s">
        <v>147</v>
      </c>
      <c r="B38" s="73">
        <f>B33*((1.025)^16)</f>
        <v>23.619773077068171</v>
      </c>
      <c r="C38" s="73">
        <f t="shared" si="21"/>
        <v>24.845791536586667</v>
      </c>
      <c r="D38" s="73">
        <f>B33*((1.025)^20)</f>
        <v>26.071809996105163</v>
      </c>
      <c r="E38" s="74">
        <f>E33*((1.025)^16)</f>
        <v>27.713864305706892</v>
      </c>
      <c r="F38" s="73">
        <f t="shared" si="22"/>
        <v>29.152392487689109</v>
      </c>
      <c r="G38" s="75">
        <f>E33*((1.025)^20)</f>
        <v>30.590920669671327</v>
      </c>
      <c r="H38" s="74">
        <f>H33*((1.025)^16)</f>
        <v>30.485250736277582</v>
      </c>
      <c r="I38" s="73">
        <f t="shared" si="23"/>
        <v>32.067631736458019</v>
      </c>
      <c r="J38" s="75">
        <f>H33*((1.025)^20)</f>
        <v>33.650012736638459</v>
      </c>
      <c r="K38" s="73">
        <f>K33*((1.025)^16)</f>
        <v>33.533775809905343</v>
      </c>
      <c r="L38" s="73">
        <f t="shared" si="24"/>
        <v>35.274394910103823</v>
      </c>
      <c r="M38" s="75">
        <f>K33*((1.025)^20)</f>
        <v>37.015014010302309</v>
      </c>
      <c r="N38" s="73" t="s">
        <v>292</v>
      </c>
      <c r="O38" s="73" t="s">
        <v>292</v>
      </c>
      <c r="P38" s="73" t="s">
        <v>292</v>
      </c>
      <c r="Q38" s="74" t="s">
        <v>292</v>
      </c>
      <c r="R38" s="73" t="s">
        <v>292</v>
      </c>
      <c r="S38" s="75" t="s">
        <v>292</v>
      </c>
      <c r="U38" s="1">
        <v>8</v>
      </c>
      <c r="V38" s="46">
        <f t="shared" si="15"/>
        <v>19.385847756387079</v>
      </c>
      <c r="W38" s="46">
        <f t="shared" si="16"/>
        <v>22.74605909288827</v>
      </c>
      <c r="X38" s="46">
        <f t="shared" si="17"/>
        <v>25.020665002177097</v>
      </c>
      <c r="Y38" s="46">
        <f t="shared" si="18"/>
        <v>27.522731502394816</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19.870493950296755</v>
      </c>
      <c r="W39" s="46">
        <f t="shared" si="16"/>
        <v>23.314710570210476</v>
      </c>
      <c r="X39" s="46">
        <f t="shared" si="17"/>
        <v>25.64618162723152</v>
      </c>
      <c r="Y39" s="46">
        <f t="shared" si="18"/>
        <v>28.210799789954685</v>
      </c>
      <c r="Z39" s="46" t="e">
        <f t="shared" ref="Z39:AA39" si="25">Z38+0.15</f>
        <v>#VALUE!</v>
      </c>
      <c r="AA39" s="46" t="e">
        <f t="shared" si="25"/>
        <v>#VALUE!</v>
      </c>
    </row>
    <row r="40" spans="1:27" x14ac:dyDescent="0.2">
      <c r="O40" s="40"/>
      <c r="P40" s="1"/>
      <c r="U40" s="1">
        <v>10</v>
      </c>
      <c r="V40" s="46">
        <f t="shared" si="15"/>
        <v>20.367256299054173</v>
      </c>
      <c r="W40" s="46">
        <f t="shared" si="16"/>
        <v>23.897578334465734</v>
      </c>
      <c r="X40" s="46">
        <f t="shared" si="17"/>
        <v>26.287336167912308</v>
      </c>
      <c r="Y40" s="46">
        <f t="shared" si="18"/>
        <v>28.916069784703549</v>
      </c>
      <c r="Z40" s="46" t="e">
        <f t="shared" ref="Z40:AA50" si="26">Z39+0.15</f>
        <v>#VALUE!</v>
      </c>
      <c r="AA40" s="46" t="e">
        <f t="shared" si="26"/>
        <v>#VALUE!</v>
      </c>
    </row>
    <row r="41" spans="1:27" x14ac:dyDescent="0.2">
      <c r="U41" s="1">
        <v>11</v>
      </c>
      <c r="V41" s="46">
        <f t="shared" si="15"/>
        <v>20.876437706530524</v>
      </c>
      <c r="W41" s="46">
        <f t="shared" si="16"/>
        <v>24.495017792827376</v>
      </c>
      <c r="X41" s="46">
        <f t="shared" si="17"/>
        <v>26.944519572110114</v>
      </c>
      <c r="Y41" s="46">
        <f t="shared" si="18"/>
        <v>29.638971529321136</v>
      </c>
      <c r="Z41" s="46" t="e">
        <f t="shared" si="26"/>
        <v>#VALUE!</v>
      </c>
      <c r="AA41" s="46" t="e">
        <f t="shared" si="26"/>
        <v>#VALUE!</v>
      </c>
    </row>
    <row r="42" spans="1:27" x14ac:dyDescent="0.2">
      <c r="U42" s="1">
        <v>12</v>
      </c>
      <c r="V42" s="46">
        <f t="shared" si="15"/>
        <v>21.398348649193785</v>
      </c>
      <c r="W42" s="46">
        <f t="shared" si="16"/>
        <v>25.107393237648058</v>
      </c>
      <c r="X42" s="46">
        <f t="shared" si="17"/>
        <v>27.618132561412864</v>
      </c>
      <c r="Y42" s="46">
        <f t="shared" si="18"/>
        <v>30.379945817554162</v>
      </c>
      <c r="Z42" s="46" t="e">
        <f t="shared" si="26"/>
        <v>#VALUE!</v>
      </c>
      <c r="AA42" s="46" t="e">
        <f t="shared" si="26"/>
        <v>#VALUE!</v>
      </c>
    </row>
    <row r="43" spans="1:27" x14ac:dyDescent="0.2">
      <c r="D43" s="83"/>
      <c r="U43" s="1">
        <v>13</v>
      </c>
      <c r="V43" s="46">
        <f t="shared" si="15"/>
        <v>21.933307365423627</v>
      </c>
      <c r="W43" s="46">
        <f t="shared" si="16"/>
        <v>25.735078068589257</v>
      </c>
      <c r="X43" s="46">
        <f t="shared" si="17"/>
        <v>28.308585875448184</v>
      </c>
      <c r="Y43" s="46">
        <f t="shared" si="18"/>
        <v>31.139444462993012</v>
      </c>
      <c r="Z43" s="46" t="e">
        <f t="shared" si="26"/>
        <v>#VALUE!</v>
      </c>
      <c r="AA43" s="46" t="e">
        <f t="shared" si="26"/>
        <v>#VALUE!</v>
      </c>
    </row>
    <row r="44" spans="1:27" x14ac:dyDescent="0.2">
      <c r="D44" s="83"/>
      <c r="G44" s="35"/>
      <c r="U44" s="1">
        <v>14</v>
      </c>
      <c r="V44" s="46">
        <f t="shared" si="15"/>
        <v>22.481640049559214</v>
      </c>
      <c r="W44" s="46">
        <f t="shared" si="16"/>
        <v>26.378455020303985</v>
      </c>
      <c r="X44" s="46">
        <f t="shared" si="17"/>
        <v>29.016300522334387</v>
      </c>
      <c r="Y44" s="46">
        <f t="shared" si="18"/>
        <v>31.917930574567833</v>
      </c>
      <c r="Z44" s="46" t="e">
        <f t="shared" si="26"/>
        <v>#VALUE!</v>
      </c>
      <c r="AA44" s="46" t="e">
        <f t="shared" si="26"/>
        <v>#VALUE!</v>
      </c>
    </row>
    <row r="45" spans="1:27" x14ac:dyDescent="0.2">
      <c r="D45" s="83"/>
      <c r="U45" s="1">
        <v>15</v>
      </c>
      <c r="V45" s="46">
        <f t="shared" si="15"/>
        <v>23.043681050798192</v>
      </c>
      <c r="W45" s="46">
        <f t="shared" si="16"/>
        <v>27.037916395811582</v>
      </c>
      <c r="X45" s="46">
        <f t="shared" si="17"/>
        <v>29.741708035392744</v>
      </c>
      <c r="Y45" s="46">
        <f t="shared" si="18"/>
        <v>32.715878838932028</v>
      </c>
      <c r="Z45" s="46" t="e">
        <f t="shared" si="26"/>
        <v>#VALUE!</v>
      </c>
      <c r="AA45" s="46" t="e">
        <f t="shared" si="26"/>
        <v>#VALUE!</v>
      </c>
    </row>
    <row r="46" spans="1:27" x14ac:dyDescent="0.2">
      <c r="U46" s="1">
        <v>16</v>
      </c>
      <c r="V46" s="46">
        <f t="shared" si="15"/>
        <v>23.619773077068146</v>
      </c>
      <c r="W46" s="46">
        <f t="shared" si="16"/>
        <v>27.713864305706871</v>
      </c>
      <c r="X46" s="46">
        <f t="shared" si="17"/>
        <v>30.48525073627756</v>
      </c>
      <c r="Y46" s="46">
        <f t="shared" si="18"/>
        <v>33.533775809905329</v>
      </c>
      <c r="Z46" s="46" t="e">
        <f t="shared" si="26"/>
        <v>#VALUE!</v>
      </c>
      <c r="AA46" s="46" t="e">
        <f t="shared" si="26"/>
        <v>#VALUE!</v>
      </c>
    </row>
    <row r="47" spans="1:27" x14ac:dyDescent="0.2">
      <c r="U47" s="1">
        <v>17</v>
      </c>
      <c r="V47" s="46">
        <f t="shared" si="15"/>
        <v>24.210267403994848</v>
      </c>
      <c r="W47" s="46">
        <f t="shared" si="16"/>
        <v>28.406710913349539</v>
      </c>
      <c r="X47" s="46">
        <f t="shared" si="17"/>
        <v>31.247382004684496</v>
      </c>
      <c r="Y47" s="46">
        <f t="shared" si="18"/>
        <v>34.37212020515296</v>
      </c>
      <c r="Z47" s="46" t="e">
        <f t="shared" si="26"/>
        <v>#VALUE!</v>
      </c>
      <c r="AA47" s="46" t="e">
        <f t="shared" si="26"/>
        <v>#VALUE!</v>
      </c>
    </row>
    <row r="48" spans="1:27" x14ac:dyDescent="0.2">
      <c r="U48" s="1">
        <v>18</v>
      </c>
      <c r="V48" s="46">
        <f t="shared" si="15"/>
        <v>24.815524089094716</v>
      </c>
      <c r="W48" s="46">
        <f t="shared" si="16"/>
        <v>29.116878686183274</v>
      </c>
      <c r="X48" s="46">
        <f t="shared" si="17"/>
        <v>32.028566554801607</v>
      </c>
      <c r="Y48" s="46">
        <f t="shared" si="18"/>
        <v>35.231423210281783</v>
      </c>
      <c r="Z48" s="46" t="e">
        <f t="shared" si="26"/>
        <v>#VALUE!</v>
      </c>
      <c r="AA48" s="46" t="e">
        <f t="shared" si="26"/>
        <v>#VALUE!</v>
      </c>
    </row>
    <row r="49" spans="21:27" x14ac:dyDescent="0.2">
      <c r="U49" s="1">
        <v>19</v>
      </c>
      <c r="V49" s="46">
        <f t="shared" si="15"/>
        <v>25.435912191322082</v>
      </c>
      <c r="W49" s="46">
        <f t="shared" si="16"/>
        <v>29.844800653337852</v>
      </c>
      <c r="X49" s="46">
        <f t="shared" si="17"/>
        <v>32.829280718671647</v>
      </c>
      <c r="Y49" s="46">
        <f t="shared" si="18"/>
        <v>36.112208790538823</v>
      </c>
      <c r="Z49" s="46" t="e">
        <f t="shared" si="26"/>
        <v>#VALUE!</v>
      </c>
      <c r="AA49" s="46" t="e">
        <f t="shared" si="26"/>
        <v>#VALUE!</v>
      </c>
    </row>
    <row r="50" spans="21:27" x14ac:dyDescent="0.2">
      <c r="U50" s="1">
        <v>20</v>
      </c>
      <c r="V50" s="46">
        <f t="shared" si="15"/>
        <v>26.071809996105131</v>
      </c>
      <c r="W50" s="46">
        <f t="shared" si="16"/>
        <v>30.590920669671295</v>
      </c>
      <c r="X50" s="46">
        <f t="shared" si="17"/>
        <v>33.650012736638438</v>
      </c>
      <c r="Y50" s="46">
        <f t="shared" si="18"/>
        <v>37.015014010302288</v>
      </c>
      <c r="Z50" s="46" t="e">
        <f t="shared" si="26"/>
        <v>#VALUE!</v>
      </c>
      <c r="AA50" s="46" t="e">
        <f t="shared" si="26"/>
        <v>#VALUE!</v>
      </c>
    </row>
  </sheetData>
  <mergeCells count="47">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4:L4"/>
    <mergeCell ref="A7:H7"/>
    <mergeCell ref="A9:H9"/>
    <mergeCell ref="A16:A18"/>
    <mergeCell ref="B16:D16"/>
    <mergeCell ref="E16:G16"/>
    <mergeCell ref="H16:J16"/>
    <mergeCell ref="Q16:S16"/>
    <mergeCell ref="B17:D17"/>
    <mergeCell ref="E17:G17"/>
    <mergeCell ref="H17:J17"/>
    <mergeCell ref="K17:M17"/>
    <mergeCell ref="N17:P17"/>
    <mergeCell ref="Q17:S17"/>
    <mergeCell ref="K16:M16"/>
    <mergeCell ref="N16:P16"/>
    <mergeCell ref="A30:A32"/>
    <mergeCell ref="B30:D30"/>
    <mergeCell ref="E30:G30"/>
    <mergeCell ref="H30:J30"/>
    <mergeCell ref="K30:M30"/>
    <mergeCell ref="B31:D31"/>
    <mergeCell ref="E31:G31"/>
    <mergeCell ref="H31:J31"/>
    <mergeCell ref="K31:M31"/>
    <mergeCell ref="N31:P31"/>
    <mergeCell ref="Q31:S31"/>
    <mergeCell ref="V28:AA28"/>
    <mergeCell ref="N30:P30"/>
    <mergeCell ref="Q30:S30"/>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C3" sqref="C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2" t="s">
        <v>295</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2" spans="1:26" ht="15.75" x14ac:dyDescent="0.25">
      <c r="A2" s="225" t="s">
        <v>373</v>
      </c>
    </row>
    <row r="3" spans="1:26" x14ac:dyDescent="0.25">
      <c r="A3" s="12">
        <v>42</v>
      </c>
    </row>
    <row r="4" spans="1:26" ht="20.25" x14ac:dyDescent="0.3">
      <c r="A4" s="171"/>
      <c r="B4" s="171"/>
      <c r="C4" s="171"/>
      <c r="D4" s="171"/>
      <c r="E4" s="171"/>
      <c r="F4" s="171"/>
      <c r="G4" s="171"/>
      <c r="H4" s="171"/>
      <c r="I4" s="171"/>
      <c r="J4" s="171"/>
      <c r="K4" s="171"/>
      <c r="L4" s="171"/>
      <c r="M4" s="171"/>
      <c r="N4" s="171"/>
      <c r="O4" s="171"/>
    </row>
    <row r="5" spans="1:26" ht="15.75" x14ac:dyDescent="0.25">
      <c r="A5" s="317" t="s">
        <v>152</v>
      </c>
      <c r="B5" s="317"/>
      <c r="C5" s="317"/>
      <c r="E5" s="317" t="s">
        <v>153</v>
      </c>
      <c r="F5" s="317"/>
      <c r="G5" s="317"/>
      <c r="I5" s="317" t="s">
        <v>154</v>
      </c>
      <c r="J5" s="317"/>
      <c r="K5" s="317"/>
      <c r="M5" s="34" t="s">
        <v>155</v>
      </c>
      <c r="N5" s="34"/>
      <c r="O5" s="34"/>
    </row>
    <row r="6" spans="1:26" x14ac:dyDescent="0.25">
      <c r="A6" s="16" t="s">
        <v>156</v>
      </c>
      <c r="B6" s="16" t="s">
        <v>157</v>
      </c>
      <c r="C6" s="16" t="s">
        <v>158</v>
      </c>
      <c r="E6" s="16" t="s">
        <v>156</v>
      </c>
      <c r="F6" s="16" t="s">
        <v>157</v>
      </c>
      <c r="G6" s="16" t="s">
        <v>158</v>
      </c>
      <c r="I6" s="25" t="s">
        <v>159</v>
      </c>
      <c r="J6" s="16" t="s">
        <v>157</v>
      </c>
      <c r="K6" s="16" t="s">
        <v>158</v>
      </c>
      <c r="M6" s="25" t="s">
        <v>160</v>
      </c>
      <c r="N6" s="16" t="s">
        <v>157</v>
      </c>
      <c r="O6" s="16" t="s">
        <v>158</v>
      </c>
    </row>
    <row r="7" spans="1:26" x14ac:dyDescent="0.25">
      <c r="A7" s="17" t="s">
        <v>161</v>
      </c>
      <c r="B7" s="18">
        <v>0</v>
      </c>
      <c r="C7" s="19">
        <f>B7/A3</f>
        <v>0</v>
      </c>
      <c r="E7" s="23" t="s">
        <v>162</v>
      </c>
      <c r="F7" s="18"/>
      <c r="G7" s="19">
        <v>0.02</v>
      </c>
      <c r="I7" s="23" t="s">
        <v>163</v>
      </c>
      <c r="J7" s="18">
        <v>34</v>
      </c>
      <c r="K7" s="19">
        <f>J7/A3</f>
        <v>0.80952380952380953</v>
      </c>
      <c r="M7" s="23" t="s">
        <v>164</v>
      </c>
      <c r="N7" s="18">
        <v>11</v>
      </c>
      <c r="O7" s="19">
        <f>N7/A3</f>
        <v>0.26190476190476192</v>
      </c>
    </row>
    <row r="8" spans="1:26" x14ac:dyDescent="0.25">
      <c r="A8" s="20" t="s">
        <v>165</v>
      </c>
      <c r="B8" s="21">
        <v>4</v>
      </c>
      <c r="C8" s="22">
        <f>B8/A3</f>
        <v>9.5238095238095233E-2</v>
      </c>
      <c r="E8" s="24" t="s">
        <v>166</v>
      </c>
      <c r="F8" s="21"/>
      <c r="G8" s="19">
        <v>0.109</v>
      </c>
      <c r="I8" s="24" t="s">
        <v>167</v>
      </c>
      <c r="J8" s="21">
        <v>4</v>
      </c>
      <c r="K8" s="19">
        <f>J8/A3</f>
        <v>9.5238095238095233E-2</v>
      </c>
      <c r="M8" s="24" t="s">
        <v>168</v>
      </c>
      <c r="N8" s="21">
        <v>31</v>
      </c>
      <c r="O8" s="22">
        <f>N8/A3</f>
        <v>0.73809523809523814</v>
      </c>
    </row>
    <row r="9" spans="1:26" x14ac:dyDescent="0.25">
      <c r="A9" s="20" t="s">
        <v>169</v>
      </c>
      <c r="B9" s="21">
        <v>8</v>
      </c>
      <c r="C9" s="22">
        <f>B9/A3</f>
        <v>0.19047619047619047</v>
      </c>
      <c r="E9" s="24" t="s">
        <v>170</v>
      </c>
      <c r="F9" s="21"/>
      <c r="G9" s="19">
        <v>0.17699999999999999</v>
      </c>
      <c r="I9" s="24" t="s">
        <v>171</v>
      </c>
      <c r="J9" s="21">
        <v>2</v>
      </c>
      <c r="K9" s="19">
        <f>J9/A3</f>
        <v>4.7619047619047616E-2</v>
      </c>
    </row>
    <row r="10" spans="1:26" x14ac:dyDescent="0.25">
      <c r="A10" s="20" t="s">
        <v>172</v>
      </c>
      <c r="B10" s="21">
        <v>10</v>
      </c>
      <c r="C10" s="22">
        <f>B10/A3</f>
        <v>0.23809523809523808</v>
      </c>
      <c r="E10" s="24" t="s">
        <v>173</v>
      </c>
      <c r="F10" s="21"/>
      <c r="G10" s="19">
        <v>8.5999999999999993E-2</v>
      </c>
      <c r="I10" s="24" t="s">
        <v>174</v>
      </c>
      <c r="J10" s="21">
        <v>1</v>
      </c>
      <c r="K10" s="19">
        <f>J10/A3</f>
        <v>2.3809523809523808E-2</v>
      </c>
    </row>
    <row r="11" spans="1:26" x14ac:dyDescent="0.25">
      <c r="A11" s="20" t="s">
        <v>175</v>
      </c>
      <c r="B11" s="21">
        <v>10</v>
      </c>
      <c r="C11" s="22">
        <f>B11/A3</f>
        <v>0.23809523809523808</v>
      </c>
      <c r="E11" s="24" t="s">
        <v>176</v>
      </c>
      <c r="F11" s="21"/>
      <c r="G11" s="19">
        <v>0.36</v>
      </c>
      <c r="I11" s="24" t="s">
        <v>177</v>
      </c>
      <c r="J11" s="21">
        <v>1</v>
      </c>
      <c r="K11" s="19">
        <f>J11/A3</f>
        <v>2.3809523809523808E-2</v>
      </c>
    </row>
    <row r="12" spans="1:26" x14ac:dyDescent="0.25">
      <c r="A12" s="20" t="s">
        <v>178</v>
      </c>
      <c r="B12" s="21">
        <v>7</v>
      </c>
      <c r="C12" s="22">
        <f>B12/A3</f>
        <v>0.16666666666666666</v>
      </c>
      <c r="E12" s="24" t="s">
        <v>179</v>
      </c>
      <c r="F12" s="21"/>
      <c r="G12" s="19">
        <v>0.20200000000000001</v>
      </c>
      <c r="I12" s="24" t="s">
        <v>180</v>
      </c>
      <c r="J12" s="21">
        <v>0</v>
      </c>
      <c r="K12" s="19">
        <f>J12/A3</f>
        <v>0</v>
      </c>
    </row>
    <row r="13" spans="1:26" x14ac:dyDescent="0.25">
      <c r="A13" s="20" t="s">
        <v>181</v>
      </c>
      <c r="B13" s="21">
        <v>3</v>
      </c>
      <c r="C13" s="22">
        <f>B13/A3</f>
        <v>7.1428571428571425E-2</v>
      </c>
      <c r="E13" s="24" t="s">
        <v>182</v>
      </c>
      <c r="F13" s="21"/>
      <c r="G13" s="19">
        <v>4.5999999999999999E-2</v>
      </c>
      <c r="I13" s="24" t="s">
        <v>183</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topLeftCell="A24" zoomScaleNormal="100" workbookViewId="0">
      <selection activeCell="V21" sqref="V21"/>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3" width="8.710937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2" t="s">
        <v>296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4" spans="1:26" ht="18.75" x14ac:dyDescent="0.3">
      <c r="A4" s="321" t="s">
        <v>297</v>
      </c>
      <c r="B4" s="321"/>
      <c r="C4" s="321"/>
      <c r="D4" s="321"/>
      <c r="E4" s="321"/>
      <c r="F4" s="321"/>
      <c r="G4" s="321"/>
      <c r="H4" s="321"/>
    </row>
    <row r="5" spans="1:26" ht="36" customHeight="1" x14ac:dyDescent="0.25">
      <c r="A5" s="319" t="s">
        <v>186</v>
      </c>
      <c r="B5" s="320" t="s">
        <v>187</v>
      </c>
      <c r="C5" s="320" t="s">
        <v>188</v>
      </c>
      <c r="D5" s="320" t="s">
        <v>298</v>
      </c>
      <c r="E5" s="320" t="s">
        <v>190</v>
      </c>
      <c r="F5" s="320"/>
      <c r="G5" s="320" t="s">
        <v>191</v>
      </c>
      <c r="H5" s="320"/>
      <c r="P5"/>
      <c r="R5" s="10"/>
    </row>
    <row r="6" spans="1:26" ht="15.75" thickBot="1" x14ac:dyDescent="0.3">
      <c r="A6" s="319"/>
      <c r="B6" s="320"/>
      <c r="C6" s="320"/>
      <c r="D6" s="322"/>
      <c r="E6" s="163" t="s">
        <v>192</v>
      </c>
      <c r="F6" s="163" t="s">
        <v>193</v>
      </c>
      <c r="G6" s="163" t="s">
        <v>192</v>
      </c>
      <c r="H6" s="163" t="s">
        <v>193</v>
      </c>
      <c r="P6"/>
      <c r="R6" s="10"/>
    </row>
    <row r="7" spans="1:26" ht="15.75" thickBot="1" x14ac:dyDescent="0.3">
      <c r="A7" s="195" t="s">
        <v>299</v>
      </c>
      <c r="B7" s="196">
        <v>1</v>
      </c>
      <c r="C7" s="197">
        <f>'1A'!B14</f>
        <v>13.67</v>
      </c>
      <c r="D7" s="198" t="s">
        <v>57</v>
      </c>
      <c r="E7" s="199">
        <f t="shared" ref="E7:E12" si="0">W19-B19</f>
        <v>-83</v>
      </c>
      <c r="F7" s="200">
        <f t="shared" ref="F7" si="1">W29</f>
        <v>-0.66400000000000003</v>
      </c>
      <c r="G7" s="201">
        <f t="shared" ref="G7:G12" si="2">S38-B38</f>
        <v>-0.79000000000000092</v>
      </c>
      <c r="H7" s="202">
        <f t="shared" ref="H7" si="3">S48</f>
        <v>-5.4633471645919841E-2</v>
      </c>
      <c r="P7"/>
      <c r="R7" s="10"/>
    </row>
    <row r="8" spans="1:26" ht="15.75" thickTop="1" x14ac:dyDescent="0.25">
      <c r="A8" s="178" t="s">
        <v>195</v>
      </c>
      <c r="B8" s="164">
        <v>0.96</v>
      </c>
      <c r="C8" s="185">
        <f>S39</f>
        <v>27.92</v>
      </c>
      <c r="D8" s="187">
        <f>C8-C7</f>
        <v>14.250000000000002</v>
      </c>
      <c r="E8" s="174">
        <f t="shared" si="0"/>
        <v>-53</v>
      </c>
      <c r="F8" s="173">
        <f>W30</f>
        <v>-1</v>
      </c>
      <c r="G8" s="175">
        <f t="shared" si="2"/>
        <v>4.6300000000000026</v>
      </c>
      <c r="H8" s="177">
        <f>S49</f>
        <v>0.19879776728209544</v>
      </c>
      <c r="P8"/>
      <c r="R8" s="10"/>
    </row>
    <row r="9" spans="1:26" x14ac:dyDescent="0.25">
      <c r="A9" s="178" t="s">
        <v>196</v>
      </c>
      <c r="B9" s="164">
        <v>0.96</v>
      </c>
      <c r="C9" s="185">
        <f t="shared" ref="C9:C12" si="4">S40</f>
        <v>23.18</v>
      </c>
      <c r="D9" s="187">
        <f>C9-C7</f>
        <v>9.51</v>
      </c>
      <c r="E9" s="174">
        <f t="shared" si="0"/>
        <v>-21</v>
      </c>
      <c r="F9" s="173">
        <f>W31</f>
        <v>-0.40384615384615385</v>
      </c>
      <c r="G9" s="175">
        <f t="shared" si="2"/>
        <v>7.1400000000000006</v>
      </c>
      <c r="H9" s="177">
        <f>S50</f>
        <v>0.44513715710723201</v>
      </c>
      <c r="P9"/>
      <c r="R9" s="10"/>
    </row>
    <row r="10" spans="1:26" x14ac:dyDescent="0.25">
      <c r="A10" s="178" t="s">
        <v>246</v>
      </c>
      <c r="B10" s="164">
        <v>0.95</v>
      </c>
      <c r="C10" s="185">
        <f t="shared" si="4"/>
        <v>14.41</v>
      </c>
      <c r="D10" s="217">
        <f>C10-C7</f>
        <v>0.74000000000000021</v>
      </c>
      <c r="E10" s="174">
        <f t="shared" si="0"/>
        <v>4</v>
      </c>
      <c r="F10" s="173">
        <f>W32</f>
        <v>6.7796610169491525E-2</v>
      </c>
      <c r="G10" s="175">
        <f t="shared" si="2"/>
        <v>-0.16000000000000014</v>
      </c>
      <c r="H10" s="177">
        <f>S51</f>
        <v>-1.0981468771448191E-2</v>
      </c>
      <c r="P10"/>
      <c r="R10" s="10"/>
    </row>
    <row r="11" spans="1:26" x14ac:dyDescent="0.25">
      <c r="A11" s="178" t="s">
        <v>247</v>
      </c>
      <c r="B11" s="164">
        <v>0.92</v>
      </c>
      <c r="C11" s="185">
        <f t="shared" si="4"/>
        <v>18.09</v>
      </c>
      <c r="D11" s="187">
        <f>C11-C7</f>
        <v>4.42</v>
      </c>
      <c r="E11" s="174">
        <f t="shared" si="0"/>
        <v>-394</v>
      </c>
      <c r="F11" s="173">
        <f>W33</f>
        <v>-0.38932806324110669</v>
      </c>
      <c r="G11" s="175">
        <f t="shared" si="2"/>
        <v>4.9499999999999993</v>
      </c>
      <c r="H11" s="177">
        <f>S52</f>
        <v>0.37671232876712324</v>
      </c>
      <c r="P11"/>
      <c r="R11" s="10"/>
    </row>
    <row r="12" spans="1:26" ht="15.75" thickBot="1" x14ac:dyDescent="0.3">
      <c r="A12" s="179" t="s">
        <v>248</v>
      </c>
      <c r="B12" s="180">
        <v>0.92</v>
      </c>
      <c r="C12" s="186">
        <f t="shared" si="4"/>
        <v>15.76</v>
      </c>
      <c r="D12" s="188">
        <f>C12-C7</f>
        <v>2.09</v>
      </c>
      <c r="E12" s="181">
        <f t="shared" si="0"/>
        <v>27</v>
      </c>
      <c r="F12" s="182">
        <f>W34</f>
        <v>3.5433070866141732E-2</v>
      </c>
      <c r="G12" s="183">
        <f t="shared" si="2"/>
        <v>2.66</v>
      </c>
      <c r="H12" s="184">
        <f>S53</f>
        <v>0.20305343511450383</v>
      </c>
      <c r="P12"/>
      <c r="R12" s="10"/>
    </row>
    <row r="13" spans="1:26" x14ac:dyDescent="0.25">
      <c r="A13" s="1"/>
      <c r="B13" s="35"/>
      <c r="C13" s="36"/>
      <c r="D13" s="36"/>
    </row>
    <row r="14" spans="1:26" x14ac:dyDescent="0.25">
      <c r="D14" s="224"/>
      <c r="G14" s="215"/>
    </row>
    <row r="17" spans="1:26" ht="15.75" x14ac:dyDescent="0.25">
      <c r="A17" s="318" t="s">
        <v>365</v>
      </c>
      <c r="B17" s="318"/>
      <c r="C17" s="318"/>
      <c r="D17" s="318"/>
      <c r="E17" s="318"/>
      <c r="F17" s="318"/>
      <c r="G17" s="318"/>
      <c r="H17" s="318"/>
      <c r="I17" s="318"/>
      <c r="J17" s="318"/>
      <c r="K17" s="318"/>
      <c r="L17" s="318"/>
      <c r="M17" s="318"/>
      <c r="N17" s="318"/>
      <c r="O17" s="318"/>
      <c r="P17" s="318"/>
      <c r="Q17" s="318"/>
      <c r="R17" s="318"/>
      <c r="S17" s="318"/>
      <c r="T17" s="318"/>
      <c r="U17" s="318"/>
      <c r="V17" s="318"/>
      <c r="W17" s="318"/>
    </row>
    <row r="18" spans="1:26" x14ac:dyDescent="0.25">
      <c r="A18" s="189" t="s">
        <v>186</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299</v>
      </c>
      <c r="B19" s="166">
        <v>125</v>
      </c>
      <c r="C19" s="166">
        <v>139</v>
      </c>
      <c r="D19" s="166">
        <v>152</v>
      </c>
      <c r="E19" s="166">
        <v>161</v>
      </c>
      <c r="F19" s="166">
        <v>176</v>
      </c>
      <c r="G19" s="166">
        <v>169</v>
      </c>
      <c r="H19" s="166">
        <v>148</v>
      </c>
      <c r="I19" s="166">
        <v>159</v>
      </c>
      <c r="J19" s="166">
        <v>157</v>
      </c>
      <c r="K19" s="166">
        <v>170</v>
      </c>
      <c r="L19" s="166">
        <v>175</v>
      </c>
      <c r="M19" s="166">
        <v>195</v>
      </c>
      <c r="N19" s="166">
        <v>197</v>
      </c>
      <c r="O19" s="166">
        <v>193</v>
      </c>
      <c r="P19" s="166">
        <v>189</v>
      </c>
      <c r="Q19" s="166">
        <v>166</v>
      </c>
      <c r="R19" s="166">
        <v>85</v>
      </c>
      <c r="S19" s="166">
        <v>65</v>
      </c>
      <c r="T19" s="166">
        <v>53</v>
      </c>
      <c r="U19" s="166">
        <v>33</v>
      </c>
      <c r="V19" s="166">
        <v>36</v>
      </c>
      <c r="W19" s="166">
        <v>42</v>
      </c>
    </row>
    <row r="20" spans="1:26" ht="15.75" thickTop="1" x14ac:dyDescent="0.25">
      <c r="A20" s="143" t="s">
        <v>195</v>
      </c>
      <c r="B20" s="146">
        <v>53</v>
      </c>
      <c r="C20" s="146">
        <v>50</v>
      </c>
      <c r="D20" s="146">
        <v>50</v>
      </c>
      <c r="E20" s="146">
        <v>46</v>
      </c>
      <c r="F20" s="146">
        <v>47</v>
      </c>
      <c r="G20" s="146">
        <v>41</v>
      </c>
      <c r="H20" s="146">
        <v>40</v>
      </c>
      <c r="I20" s="146">
        <v>46</v>
      </c>
      <c r="J20" s="146">
        <v>50</v>
      </c>
      <c r="K20" s="146">
        <v>51</v>
      </c>
      <c r="L20" s="146">
        <v>45</v>
      </c>
      <c r="M20" s="146">
        <v>45</v>
      </c>
      <c r="N20" s="146">
        <v>41</v>
      </c>
      <c r="O20" s="146">
        <v>37</v>
      </c>
      <c r="P20" s="146">
        <v>29</v>
      </c>
      <c r="Q20" s="146">
        <v>23</v>
      </c>
      <c r="R20" s="146">
        <v>19</v>
      </c>
      <c r="S20" s="146">
        <v>18</v>
      </c>
      <c r="T20" s="146">
        <v>18</v>
      </c>
      <c r="U20" s="146">
        <v>0</v>
      </c>
      <c r="V20" s="146">
        <v>0</v>
      </c>
      <c r="W20" s="146">
        <v>0</v>
      </c>
    </row>
    <row r="21" spans="1:26" x14ac:dyDescent="0.25">
      <c r="A21" s="143" t="s">
        <v>196</v>
      </c>
      <c r="B21" s="144">
        <v>52</v>
      </c>
      <c r="C21" s="144">
        <v>52</v>
      </c>
      <c r="D21" s="144">
        <v>52</v>
      </c>
      <c r="E21" s="144">
        <v>53</v>
      </c>
      <c r="F21" s="144">
        <v>60</v>
      </c>
      <c r="G21" s="144">
        <v>59</v>
      </c>
      <c r="H21" s="144">
        <v>54</v>
      </c>
      <c r="I21" s="144">
        <v>28</v>
      </c>
      <c r="J21" s="144">
        <v>22</v>
      </c>
      <c r="K21" s="144">
        <v>23</v>
      </c>
      <c r="L21" s="144">
        <v>24</v>
      </c>
      <c r="M21" s="144">
        <v>21</v>
      </c>
      <c r="N21" s="144">
        <v>20</v>
      </c>
      <c r="O21" s="144">
        <v>21</v>
      </c>
      <c r="P21" s="144">
        <v>20</v>
      </c>
      <c r="Q21" s="144">
        <v>29</v>
      </c>
      <c r="R21" s="144">
        <v>20</v>
      </c>
      <c r="S21" s="144">
        <v>19</v>
      </c>
      <c r="T21" s="144">
        <v>30</v>
      </c>
      <c r="U21" s="144">
        <v>30</v>
      </c>
      <c r="V21" s="144">
        <v>31</v>
      </c>
      <c r="W21" s="144">
        <v>31</v>
      </c>
    </row>
    <row r="22" spans="1:26" x14ac:dyDescent="0.25">
      <c r="A22" s="143" t="s">
        <v>246</v>
      </c>
      <c r="B22" s="144">
        <v>59</v>
      </c>
      <c r="C22" s="144">
        <v>67</v>
      </c>
      <c r="D22" s="144">
        <v>81</v>
      </c>
      <c r="E22" s="144">
        <v>82</v>
      </c>
      <c r="F22" s="144">
        <v>95</v>
      </c>
      <c r="G22" s="144">
        <v>98</v>
      </c>
      <c r="H22" s="144">
        <v>87</v>
      </c>
      <c r="I22" s="144">
        <v>83</v>
      </c>
      <c r="J22" s="144">
        <v>77</v>
      </c>
      <c r="K22" s="144">
        <v>76</v>
      </c>
      <c r="L22" s="144">
        <v>74</v>
      </c>
      <c r="M22" s="144">
        <v>73</v>
      </c>
      <c r="N22" s="144">
        <v>76</v>
      </c>
      <c r="O22" s="144">
        <v>80</v>
      </c>
      <c r="P22" s="144">
        <v>92</v>
      </c>
      <c r="Q22" s="144">
        <v>99</v>
      </c>
      <c r="R22" s="144">
        <v>110</v>
      </c>
      <c r="S22" s="144">
        <v>112</v>
      </c>
      <c r="T22" s="144">
        <v>96</v>
      </c>
      <c r="U22" s="144">
        <v>80</v>
      </c>
      <c r="V22" s="144">
        <v>83</v>
      </c>
      <c r="W22" s="144">
        <v>63</v>
      </c>
    </row>
    <row r="23" spans="1:26" x14ac:dyDescent="0.25">
      <c r="A23" s="178" t="s">
        <v>247</v>
      </c>
      <c r="B23" s="146">
        <v>1012</v>
      </c>
      <c r="C23" s="146">
        <v>1025</v>
      </c>
      <c r="D23" s="146">
        <v>1032</v>
      </c>
      <c r="E23" s="146">
        <v>1047</v>
      </c>
      <c r="F23" s="146">
        <v>1088</v>
      </c>
      <c r="G23" s="146">
        <v>1017</v>
      </c>
      <c r="H23" s="146">
        <v>949</v>
      </c>
      <c r="I23" s="146">
        <v>914</v>
      </c>
      <c r="J23" s="146">
        <v>824</v>
      </c>
      <c r="K23" s="146">
        <v>843</v>
      </c>
      <c r="L23" s="146">
        <v>856</v>
      </c>
      <c r="M23" s="146">
        <v>915</v>
      </c>
      <c r="N23" s="146">
        <v>940</v>
      </c>
      <c r="O23" s="146">
        <v>957</v>
      </c>
      <c r="P23" s="146">
        <v>972</v>
      </c>
      <c r="Q23" s="146">
        <v>1002</v>
      </c>
      <c r="R23" s="146">
        <v>984</v>
      </c>
      <c r="S23" s="146">
        <v>876</v>
      </c>
      <c r="T23" s="146">
        <v>726</v>
      </c>
      <c r="U23" s="146">
        <v>622</v>
      </c>
      <c r="V23" s="146">
        <v>619</v>
      </c>
      <c r="W23" s="146">
        <v>618</v>
      </c>
    </row>
    <row r="24" spans="1:26" x14ac:dyDescent="0.25">
      <c r="A24" s="143" t="s">
        <v>248</v>
      </c>
      <c r="B24" s="146">
        <v>762</v>
      </c>
      <c r="C24" s="146">
        <v>759</v>
      </c>
      <c r="D24" s="146">
        <v>763</v>
      </c>
      <c r="E24" s="146">
        <v>778</v>
      </c>
      <c r="F24" s="146">
        <v>800</v>
      </c>
      <c r="G24" s="146">
        <v>823</v>
      </c>
      <c r="H24" s="146">
        <v>788</v>
      </c>
      <c r="I24" s="146">
        <v>778</v>
      </c>
      <c r="J24" s="146">
        <v>744</v>
      </c>
      <c r="K24" s="146">
        <v>774</v>
      </c>
      <c r="L24" s="146">
        <v>771</v>
      </c>
      <c r="M24" s="146">
        <v>811</v>
      </c>
      <c r="N24" s="146">
        <v>830</v>
      </c>
      <c r="O24" s="146">
        <v>880</v>
      </c>
      <c r="P24" s="146">
        <v>887</v>
      </c>
      <c r="Q24" s="146">
        <v>952</v>
      </c>
      <c r="R24" s="146">
        <v>980</v>
      </c>
      <c r="S24" s="146">
        <v>1004</v>
      </c>
      <c r="T24" s="146">
        <v>944</v>
      </c>
      <c r="U24" s="146">
        <v>822</v>
      </c>
      <c r="V24" s="146">
        <v>813</v>
      </c>
      <c r="W24" s="146">
        <v>789</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8" t="s">
        <v>366</v>
      </c>
      <c r="B27" s="318"/>
      <c r="C27" s="318"/>
      <c r="D27" s="318"/>
      <c r="E27" s="318"/>
      <c r="F27" s="318"/>
      <c r="G27" s="318"/>
      <c r="H27" s="318"/>
      <c r="I27" s="318"/>
      <c r="J27" s="318"/>
      <c r="K27" s="318"/>
      <c r="L27" s="318"/>
      <c r="M27" s="318"/>
      <c r="N27" s="318"/>
      <c r="O27" s="318"/>
      <c r="P27" s="318"/>
      <c r="Q27" s="318"/>
      <c r="R27" s="318"/>
      <c r="S27" s="318"/>
      <c r="T27" s="318"/>
      <c r="U27" s="318"/>
      <c r="V27" s="318"/>
      <c r="W27" s="318"/>
    </row>
    <row r="28" spans="1:26" x14ac:dyDescent="0.25">
      <c r="A28" s="189" t="s">
        <v>186</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299</v>
      </c>
      <c r="B29" s="167">
        <f t="shared" ref="B29:B34" si="5">(B19-B19)/B19</f>
        <v>0</v>
      </c>
      <c r="C29" s="167">
        <f t="shared" ref="C29:C34" si="6">(C19-B19)/B19</f>
        <v>0.112</v>
      </c>
      <c r="D29" s="167">
        <f t="shared" ref="D29:D34" si="7">(D19-B19)/B19</f>
        <v>0.216</v>
      </c>
      <c r="E29" s="167">
        <f t="shared" ref="E29:E34" si="8">(E19-B19)/B19</f>
        <v>0.28799999999999998</v>
      </c>
      <c r="F29" s="167">
        <f t="shared" ref="F29:F34" si="9">(F19-B19)/B19</f>
        <v>0.40799999999999997</v>
      </c>
      <c r="G29" s="167">
        <f t="shared" ref="G29:G34" si="10">(G19-B19)/B19</f>
        <v>0.35199999999999998</v>
      </c>
      <c r="H29" s="167">
        <f t="shared" ref="H29:H34" si="11">(H19-B19)/B19</f>
        <v>0.184</v>
      </c>
      <c r="I29" s="167">
        <f t="shared" ref="I29:I34" si="12">(I19-B19)/B19</f>
        <v>0.27200000000000002</v>
      </c>
      <c r="J29" s="167">
        <f t="shared" ref="J29:J34" si="13">(J19-B19)/B19</f>
        <v>0.25600000000000001</v>
      </c>
      <c r="K29" s="167">
        <f t="shared" ref="K29:K34" si="14">(K19-B19)/B19</f>
        <v>0.36</v>
      </c>
      <c r="L29" s="167">
        <f t="shared" ref="L29:L34" si="15">(L19-B19)/B19</f>
        <v>0.4</v>
      </c>
      <c r="M29" s="167">
        <f t="shared" ref="M29:M34" si="16">(M19-B19)/B19</f>
        <v>0.56000000000000005</v>
      </c>
      <c r="N29" s="167">
        <f t="shared" ref="N29:N34" si="17">(N19-B19)/B19</f>
        <v>0.57599999999999996</v>
      </c>
      <c r="O29" s="167">
        <f t="shared" ref="O29:O34" si="18">(O19-B19)/B19</f>
        <v>0.54400000000000004</v>
      </c>
      <c r="P29" s="167">
        <f t="shared" ref="P29:P34" si="19">(P19-B19)/B19</f>
        <v>0.51200000000000001</v>
      </c>
      <c r="Q29" s="167">
        <f t="shared" ref="Q29:Q34" si="20">(Q19-B19)/B19</f>
        <v>0.32800000000000001</v>
      </c>
      <c r="R29" s="167">
        <f t="shared" ref="R29:R34" si="21">(R19-B19)/B19</f>
        <v>-0.32</v>
      </c>
      <c r="S29" s="167">
        <f t="shared" ref="S29:S34" si="22">(S19-B19)/B19</f>
        <v>-0.48</v>
      </c>
      <c r="T29" s="167">
        <f t="shared" ref="T29:T34" si="23">(T19-B19)/B19</f>
        <v>-0.57599999999999996</v>
      </c>
      <c r="U29" s="167">
        <f t="shared" ref="U29:U34" si="24">(U19-B19)/B19</f>
        <v>-0.73599999999999999</v>
      </c>
      <c r="V29" s="167">
        <f t="shared" ref="V29:V34" si="25">(V19-B19)/B19</f>
        <v>-0.71199999999999997</v>
      </c>
      <c r="W29" s="167">
        <f t="shared" ref="W29:W34" si="26">(W19-B19)/B19</f>
        <v>-0.66400000000000003</v>
      </c>
      <c r="Y29" t="s">
        <v>299</v>
      </c>
      <c r="Z29" s="216">
        <v>-0.79</v>
      </c>
    </row>
    <row r="30" spans="1:26" ht="15.75" thickTop="1" x14ac:dyDescent="0.25">
      <c r="A30" s="143" t="s">
        <v>195</v>
      </c>
      <c r="B30" s="147">
        <f t="shared" si="5"/>
        <v>0</v>
      </c>
      <c r="C30" s="147">
        <f t="shared" si="6"/>
        <v>-5.6603773584905662E-2</v>
      </c>
      <c r="D30" s="147">
        <f t="shared" si="7"/>
        <v>-5.6603773584905662E-2</v>
      </c>
      <c r="E30" s="147">
        <f t="shared" si="8"/>
        <v>-0.13207547169811321</v>
      </c>
      <c r="F30" s="147">
        <f t="shared" si="9"/>
        <v>-0.11320754716981132</v>
      </c>
      <c r="G30" s="147">
        <f t="shared" si="10"/>
        <v>-0.22641509433962265</v>
      </c>
      <c r="H30" s="147">
        <f t="shared" si="11"/>
        <v>-0.24528301886792453</v>
      </c>
      <c r="I30" s="147">
        <f t="shared" si="12"/>
        <v>-0.13207547169811321</v>
      </c>
      <c r="J30" s="147">
        <f t="shared" si="13"/>
        <v>-5.6603773584905662E-2</v>
      </c>
      <c r="K30" s="147">
        <f t="shared" si="14"/>
        <v>-3.7735849056603772E-2</v>
      </c>
      <c r="L30" s="147">
        <f t="shared" si="15"/>
        <v>-0.15094339622641509</v>
      </c>
      <c r="M30" s="147">
        <f t="shared" si="16"/>
        <v>-0.15094339622641509</v>
      </c>
      <c r="N30" s="147">
        <f t="shared" si="17"/>
        <v>-0.22641509433962265</v>
      </c>
      <c r="O30" s="147">
        <f t="shared" si="18"/>
        <v>-0.30188679245283018</v>
      </c>
      <c r="P30" s="147">
        <f t="shared" si="19"/>
        <v>-0.45283018867924529</v>
      </c>
      <c r="Q30" s="147">
        <f t="shared" si="20"/>
        <v>-0.56603773584905659</v>
      </c>
      <c r="R30" s="147">
        <f t="shared" si="21"/>
        <v>-0.64150943396226412</v>
      </c>
      <c r="S30" s="147">
        <f t="shared" si="22"/>
        <v>-0.660377358490566</v>
      </c>
      <c r="T30" s="147">
        <f t="shared" si="23"/>
        <v>-0.660377358490566</v>
      </c>
      <c r="U30" s="147">
        <f t="shared" si="24"/>
        <v>-1</v>
      </c>
      <c r="V30" s="147">
        <f t="shared" si="25"/>
        <v>-1</v>
      </c>
      <c r="W30" s="147">
        <f t="shared" si="26"/>
        <v>-1</v>
      </c>
      <c r="Y30" t="s">
        <v>246</v>
      </c>
      <c r="Z30" s="216">
        <v>-0.16</v>
      </c>
    </row>
    <row r="31" spans="1:26" x14ac:dyDescent="0.25">
      <c r="A31" s="143" t="s">
        <v>196</v>
      </c>
      <c r="B31" s="147">
        <f t="shared" si="5"/>
        <v>0</v>
      </c>
      <c r="C31" s="147">
        <f t="shared" si="6"/>
        <v>0</v>
      </c>
      <c r="D31" s="147">
        <f t="shared" si="7"/>
        <v>0</v>
      </c>
      <c r="E31" s="147">
        <f t="shared" si="8"/>
        <v>1.9230769230769232E-2</v>
      </c>
      <c r="F31" s="147">
        <f t="shared" si="9"/>
        <v>0.15384615384615385</v>
      </c>
      <c r="G31" s="147">
        <f t="shared" si="10"/>
        <v>0.13461538461538461</v>
      </c>
      <c r="H31" s="147">
        <f t="shared" si="11"/>
        <v>3.8461538461538464E-2</v>
      </c>
      <c r="I31" s="147">
        <f t="shared" si="12"/>
        <v>-0.46153846153846156</v>
      </c>
      <c r="J31" s="147">
        <f t="shared" si="13"/>
        <v>-0.57692307692307687</v>
      </c>
      <c r="K31" s="147">
        <f t="shared" si="14"/>
        <v>-0.55769230769230771</v>
      </c>
      <c r="L31" s="147">
        <f t="shared" si="15"/>
        <v>-0.53846153846153844</v>
      </c>
      <c r="M31" s="147">
        <f t="shared" si="16"/>
        <v>-0.59615384615384615</v>
      </c>
      <c r="N31" s="147">
        <f t="shared" si="17"/>
        <v>-0.61538461538461542</v>
      </c>
      <c r="O31" s="147">
        <f t="shared" si="18"/>
        <v>-0.59615384615384615</v>
      </c>
      <c r="P31" s="147">
        <f t="shared" si="19"/>
        <v>-0.61538461538461542</v>
      </c>
      <c r="Q31" s="147">
        <f t="shared" si="20"/>
        <v>-0.44230769230769229</v>
      </c>
      <c r="R31" s="147">
        <f t="shared" si="21"/>
        <v>-0.61538461538461542</v>
      </c>
      <c r="S31" s="147">
        <f t="shared" si="22"/>
        <v>-0.63461538461538458</v>
      </c>
      <c r="T31" s="147">
        <f t="shared" si="23"/>
        <v>-0.42307692307692307</v>
      </c>
      <c r="U31" s="147">
        <f t="shared" si="24"/>
        <v>-0.42307692307692307</v>
      </c>
      <c r="V31" s="147">
        <f t="shared" si="25"/>
        <v>-0.40384615384615385</v>
      </c>
      <c r="W31" s="147">
        <f t="shared" si="26"/>
        <v>-0.40384615384615385</v>
      </c>
      <c r="Y31" t="s">
        <v>248</v>
      </c>
      <c r="Z31" s="214">
        <v>2.66</v>
      </c>
    </row>
    <row r="32" spans="1:26" x14ac:dyDescent="0.25">
      <c r="A32" s="143" t="s">
        <v>246</v>
      </c>
      <c r="B32" s="147">
        <f t="shared" si="5"/>
        <v>0</v>
      </c>
      <c r="C32" s="147">
        <f t="shared" si="6"/>
        <v>0.13559322033898305</v>
      </c>
      <c r="D32" s="147">
        <f t="shared" si="7"/>
        <v>0.3728813559322034</v>
      </c>
      <c r="E32" s="147">
        <f t="shared" si="8"/>
        <v>0.38983050847457629</v>
      </c>
      <c r="F32" s="147">
        <f t="shared" si="9"/>
        <v>0.61016949152542377</v>
      </c>
      <c r="G32" s="147">
        <f t="shared" si="10"/>
        <v>0.66101694915254239</v>
      </c>
      <c r="H32" s="147">
        <f t="shared" si="11"/>
        <v>0.47457627118644069</v>
      </c>
      <c r="I32" s="147">
        <f t="shared" si="12"/>
        <v>0.40677966101694918</v>
      </c>
      <c r="J32" s="147">
        <f t="shared" si="13"/>
        <v>0.30508474576271188</v>
      </c>
      <c r="K32" s="147">
        <f t="shared" si="14"/>
        <v>0.28813559322033899</v>
      </c>
      <c r="L32" s="147">
        <f t="shared" si="15"/>
        <v>0.25423728813559321</v>
      </c>
      <c r="M32" s="147">
        <f t="shared" si="16"/>
        <v>0.23728813559322035</v>
      </c>
      <c r="N32" s="147">
        <f t="shared" si="17"/>
        <v>0.28813559322033899</v>
      </c>
      <c r="O32" s="147">
        <f t="shared" si="18"/>
        <v>0.3559322033898305</v>
      </c>
      <c r="P32" s="147">
        <f t="shared" si="19"/>
        <v>0.55932203389830504</v>
      </c>
      <c r="Q32" s="147">
        <f t="shared" si="20"/>
        <v>0.67796610169491522</v>
      </c>
      <c r="R32" s="147">
        <f t="shared" si="21"/>
        <v>0.86440677966101698</v>
      </c>
      <c r="S32" s="147">
        <f t="shared" si="22"/>
        <v>0.89830508474576276</v>
      </c>
      <c r="T32" s="147">
        <f t="shared" si="23"/>
        <v>0.6271186440677966</v>
      </c>
      <c r="U32" s="147">
        <f t="shared" si="24"/>
        <v>0.3559322033898305</v>
      </c>
      <c r="V32" s="147">
        <f t="shared" si="25"/>
        <v>0.40677966101694918</v>
      </c>
      <c r="W32" s="147">
        <f t="shared" si="26"/>
        <v>6.7796610169491525E-2</v>
      </c>
      <c r="Y32" t="s">
        <v>195</v>
      </c>
      <c r="Z32" s="214">
        <v>4.63</v>
      </c>
    </row>
    <row r="33" spans="1:26" x14ac:dyDescent="0.25">
      <c r="A33" s="178" t="s">
        <v>247</v>
      </c>
      <c r="B33" s="147">
        <f t="shared" si="5"/>
        <v>0</v>
      </c>
      <c r="C33" s="147">
        <f t="shared" si="6"/>
        <v>1.2845849802371542E-2</v>
      </c>
      <c r="D33" s="147">
        <f t="shared" si="7"/>
        <v>1.9762845849802372E-2</v>
      </c>
      <c r="E33" s="147">
        <f t="shared" si="8"/>
        <v>3.4584980237154152E-2</v>
      </c>
      <c r="F33" s="147">
        <f t="shared" si="9"/>
        <v>7.5098814229249009E-2</v>
      </c>
      <c r="G33" s="147">
        <f t="shared" si="10"/>
        <v>4.940711462450593E-3</v>
      </c>
      <c r="H33" s="147">
        <f t="shared" si="11"/>
        <v>-6.2252964426877472E-2</v>
      </c>
      <c r="I33" s="147">
        <f t="shared" si="12"/>
        <v>-9.6837944664031617E-2</v>
      </c>
      <c r="J33" s="147">
        <f t="shared" si="13"/>
        <v>-0.1857707509881423</v>
      </c>
      <c r="K33" s="147">
        <f t="shared" si="14"/>
        <v>-0.16699604743083005</v>
      </c>
      <c r="L33" s="147">
        <f t="shared" si="15"/>
        <v>-0.1541501976284585</v>
      </c>
      <c r="M33" s="147">
        <f t="shared" si="16"/>
        <v>-9.5849802371541504E-2</v>
      </c>
      <c r="N33" s="147">
        <f t="shared" si="17"/>
        <v>-7.1146245059288543E-2</v>
      </c>
      <c r="O33" s="147">
        <f t="shared" si="18"/>
        <v>-5.434782608695652E-2</v>
      </c>
      <c r="P33" s="147">
        <f t="shared" si="19"/>
        <v>-3.9525691699604744E-2</v>
      </c>
      <c r="Q33" s="147">
        <f t="shared" si="20"/>
        <v>-9.881422924901186E-3</v>
      </c>
      <c r="R33" s="147">
        <f t="shared" si="21"/>
        <v>-2.766798418972332E-2</v>
      </c>
      <c r="S33" s="147">
        <f t="shared" si="22"/>
        <v>-0.13438735177865613</v>
      </c>
      <c r="T33" s="147">
        <f t="shared" si="23"/>
        <v>-0.28260869565217389</v>
      </c>
      <c r="U33" s="147">
        <f t="shared" si="24"/>
        <v>-0.38537549407114624</v>
      </c>
      <c r="V33" s="147">
        <f t="shared" si="25"/>
        <v>-0.38833992094861658</v>
      </c>
      <c r="W33" s="147">
        <f t="shared" si="26"/>
        <v>-0.38932806324110669</v>
      </c>
      <c r="Y33" t="s">
        <v>247</v>
      </c>
      <c r="Z33" s="214">
        <v>4.95</v>
      </c>
    </row>
    <row r="34" spans="1:26" x14ac:dyDescent="0.25">
      <c r="A34" s="143" t="s">
        <v>248</v>
      </c>
      <c r="B34" s="147">
        <f t="shared" si="5"/>
        <v>0</v>
      </c>
      <c r="C34" s="147">
        <f t="shared" si="6"/>
        <v>-3.937007874015748E-3</v>
      </c>
      <c r="D34" s="147">
        <f t="shared" si="7"/>
        <v>1.3123359580052493E-3</v>
      </c>
      <c r="E34" s="147">
        <f t="shared" si="8"/>
        <v>2.0997375328083989E-2</v>
      </c>
      <c r="F34" s="147">
        <f t="shared" si="9"/>
        <v>4.9868766404199474E-2</v>
      </c>
      <c r="G34" s="147">
        <f t="shared" si="10"/>
        <v>8.0052493438320216E-2</v>
      </c>
      <c r="H34" s="147">
        <f t="shared" si="11"/>
        <v>3.4120734908136482E-2</v>
      </c>
      <c r="I34" s="147">
        <f t="shared" si="12"/>
        <v>2.0997375328083989E-2</v>
      </c>
      <c r="J34" s="147">
        <f t="shared" si="13"/>
        <v>-2.3622047244094488E-2</v>
      </c>
      <c r="K34" s="147">
        <f t="shared" si="14"/>
        <v>1.5748031496062992E-2</v>
      </c>
      <c r="L34" s="147">
        <f t="shared" si="15"/>
        <v>1.1811023622047244E-2</v>
      </c>
      <c r="M34" s="147">
        <f t="shared" si="16"/>
        <v>6.4304461942257224E-2</v>
      </c>
      <c r="N34" s="147">
        <f t="shared" si="17"/>
        <v>8.9238845144356954E-2</v>
      </c>
      <c r="O34" s="147">
        <f t="shared" si="18"/>
        <v>0.15485564304461943</v>
      </c>
      <c r="P34" s="147">
        <f t="shared" si="19"/>
        <v>0.16404199475065617</v>
      </c>
      <c r="Q34" s="147">
        <f t="shared" si="20"/>
        <v>0.24934383202099739</v>
      </c>
      <c r="R34" s="147">
        <f t="shared" si="21"/>
        <v>0.28608923884514437</v>
      </c>
      <c r="S34" s="147">
        <f t="shared" si="22"/>
        <v>0.31758530183727035</v>
      </c>
      <c r="T34" s="147">
        <f t="shared" si="23"/>
        <v>0.23884514435695539</v>
      </c>
      <c r="U34" s="147">
        <f t="shared" si="24"/>
        <v>7.874015748031496E-2</v>
      </c>
      <c r="V34" s="147">
        <f t="shared" si="25"/>
        <v>6.6929133858267723E-2</v>
      </c>
      <c r="W34" s="147">
        <f t="shared" si="26"/>
        <v>3.5433070866141732E-2</v>
      </c>
      <c r="Y34" t="s">
        <v>196</v>
      </c>
      <c r="Z34" s="214">
        <v>7.14</v>
      </c>
    </row>
    <row r="35" spans="1:26" ht="15.75" x14ac:dyDescent="0.25">
      <c r="A35" s="318" t="s">
        <v>367</v>
      </c>
      <c r="B35" s="318"/>
      <c r="C35" s="318"/>
      <c r="D35" s="318"/>
      <c r="E35" s="318"/>
      <c r="F35" s="318"/>
      <c r="G35" s="318"/>
      <c r="H35" s="318"/>
      <c r="I35" s="318"/>
      <c r="J35" s="318"/>
      <c r="K35" s="318"/>
      <c r="L35" s="318"/>
      <c r="M35" s="318"/>
      <c r="N35" s="318"/>
      <c r="O35" s="318"/>
      <c r="P35" s="318"/>
      <c r="Q35" s="318"/>
      <c r="R35" s="318"/>
      <c r="S35" s="318"/>
      <c r="T35" s="1"/>
      <c r="U35" s="1"/>
      <c r="V35" s="1"/>
      <c r="W35" s="1"/>
    </row>
    <row r="37" spans="1:26" x14ac:dyDescent="0.25">
      <c r="A37" s="189" t="s">
        <v>186</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299</v>
      </c>
      <c r="B38" s="168">
        <v>14.46</v>
      </c>
      <c r="C38" s="168">
        <v>32.33</v>
      </c>
      <c r="D38" s="168">
        <v>33.74</v>
      </c>
      <c r="E38" s="168">
        <v>31.71</v>
      </c>
      <c r="F38" s="168">
        <v>24.75</v>
      </c>
      <c r="G38" s="168">
        <v>25.02</v>
      </c>
      <c r="H38" s="168">
        <v>24.99</v>
      </c>
      <c r="I38" s="168">
        <v>10.51</v>
      </c>
      <c r="J38" s="168">
        <v>10.68</v>
      </c>
      <c r="K38" s="168">
        <v>8.44</v>
      </c>
      <c r="L38" s="168">
        <v>9.39</v>
      </c>
      <c r="M38" s="168">
        <v>9.31</v>
      </c>
      <c r="N38" s="168">
        <v>9.34</v>
      </c>
      <c r="O38" s="168">
        <v>9.9499999999999993</v>
      </c>
      <c r="P38" s="168">
        <v>12.74</v>
      </c>
      <c r="Q38" s="168">
        <v>12.87</v>
      </c>
      <c r="R38" s="168">
        <v>13.51</v>
      </c>
      <c r="S38" s="169">
        <v>13.67</v>
      </c>
      <c r="T38" s="214">
        <f>S38-(B38*1.4985)</f>
        <v>-7.9983100000000018</v>
      </c>
      <c r="U38" s="223">
        <f>T38/B38</f>
        <v>-0.55313347164591986</v>
      </c>
    </row>
    <row r="39" spans="1:26" ht="15.75" thickTop="1" x14ac:dyDescent="0.25">
      <c r="A39" s="143" t="s">
        <v>195</v>
      </c>
      <c r="B39" s="150">
        <v>23.29</v>
      </c>
      <c r="C39" s="150">
        <v>25.09</v>
      </c>
      <c r="D39" s="150">
        <v>26.03</v>
      </c>
      <c r="E39" s="150">
        <v>26.49</v>
      </c>
      <c r="F39" s="150">
        <v>25.92</v>
      </c>
      <c r="G39" s="150">
        <v>26.2</v>
      </c>
      <c r="H39" s="150">
        <v>24.02</v>
      </c>
      <c r="I39" s="150">
        <v>24.87</v>
      </c>
      <c r="J39" s="150">
        <v>26.44</v>
      </c>
      <c r="K39" s="150">
        <v>27.69</v>
      </c>
      <c r="L39" s="150">
        <v>27.17</v>
      </c>
      <c r="M39" s="150">
        <v>27.82</v>
      </c>
      <c r="N39" s="150">
        <v>30.61</v>
      </c>
      <c r="O39" s="150">
        <v>30.7</v>
      </c>
      <c r="P39" s="150">
        <v>27.92</v>
      </c>
      <c r="Q39" s="150">
        <v>27.92</v>
      </c>
      <c r="R39" s="150">
        <v>27.92</v>
      </c>
      <c r="S39" s="151">
        <v>27.92</v>
      </c>
      <c r="T39" s="214">
        <f t="shared" ref="T39:T43" si="27">S39-(B39*1.4985)</f>
        <v>-6.9800649999999962</v>
      </c>
      <c r="U39" s="223">
        <f>T39/B39</f>
        <v>-0.29970223271790453</v>
      </c>
    </row>
    <row r="40" spans="1:26" x14ac:dyDescent="0.25">
      <c r="A40" s="143" t="s">
        <v>196</v>
      </c>
      <c r="B40" s="150">
        <v>16.04</v>
      </c>
      <c r="C40" s="150">
        <v>12.28</v>
      </c>
      <c r="D40" s="150">
        <v>11.95</v>
      </c>
      <c r="E40" s="150">
        <v>12.33</v>
      </c>
      <c r="F40" s="150">
        <v>13.83</v>
      </c>
      <c r="G40" s="150">
        <v>10.07</v>
      </c>
      <c r="H40" s="150">
        <v>8.83</v>
      </c>
      <c r="I40" s="150">
        <v>12.01</v>
      </c>
      <c r="J40" s="150">
        <v>13.48</v>
      </c>
      <c r="K40" s="150">
        <v>16.260000000000002</v>
      </c>
      <c r="L40" s="150">
        <v>12.83</v>
      </c>
      <c r="M40" s="150">
        <v>11.06</v>
      </c>
      <c r="N40" s="150">
        <v>10.82</v>
      </c>
      <c r="O40" s="150">
        <v>12.97</v>
      </c>
      <c r="P40" s="150">
        <v>13.41</v>
      </c>
      <c r="Q40" s="150">
        <v>13.14</v>
      </c>
      <c r="R40" s="150">
        <v>16.920000000000002</v>
      </c>
      <c r="S40" s="151">
        <v>23.18</v>
      </c>
      <c r="T40" s="214">
        <f t="shared" si="27"/>
        <v>-0.85593999999999681</v>
      </c>
      <c r="U40" s="223">
        <f t="shared" ref="U40:U43" si="28">T40/B40</f>
        <v>-5.3362842892767881E-2</v>
      </c>
    </row>
    <row r="41" spans="1:26" x14ac:dyDescent="0.25">
      <c r="A41" s="143" t="s">
        <v>246</v>
      </c>
      <c r="B41" s="150">
        <v>14.57</v>
      </c>
      <c r="C41" s="150">
        <v>32.659999999999997</v>
      </c>
      <c r="D41" s="150">
        <v>34.520000000000003</v>
      </c>
      <c r="E41" s="150">
        <v>33</v>
      </c>
      <c r="F41" s="150">
        <v>26.89</v>
      </c>
      <c r="G41" s="150">
        <v>26.12</v>
      </c>
      <c r="H41" s="150">
        <v>26.6</v>
      </c>
      <c r="I41" s="150">
        <v>25.85</v>
      </c>
      <c r="J41" s="150">
        <v>25.92</v>
      </c>
      <c r="K41" s="150">
        <v>23.3</v>
      </c>
      <c r="L41" s="150">
        <v>25.77</v>
      </c>
      <c r="M41" s="150">
        <v>25.22</v>
      </c>
      <c r="N41" s="150">
        <v>26.07</v>
      </c>
      <c r="O41" s="150">
        <v>20.53</v>
      </c>
      <c r="P41" s="150">
        <v>19.489999999999998</v>
      </c>
      <c r="Q41" s="150">
        <v>18.98</v>
      </c>
      <c r="R41" s="150">
        <v>13.58</v>
      </c>
      <c r="S41" s="151">
        <v>14.41</v>
      </c>
      <c r="T41" s="214">
        <f t="shared" si="27"/>
        <v>-7.4231449999999981</v>
      </c>
      <c r="U41" s="223">
        <f t="shared" si="28"/>
        <v>-0.50948146877144806</v>
      </c>
    </row>
    <row r="42" spans="1:26" x14ac:dyDescent="0.25">
      <c r="A42" s="178" t="s">
        <v>247</v>
      </c>
      <c r="B42" s="152">
        <v>13.14</v>
      </c>
      <c r="C42" s="152">
        <v>11.6</v>
      </c>
      <c r="D42" s="152">
        <v>11.61</v>
      </c>
      <c r="E42" s="152">
        <v>12.14</v>
      </c>
      <c r="F42" s="152">
        <v>12.8</v>
      </c>
      <c r="G42" s="152">
        <v>12.99</v>
      </c>
      <c r="H42" s="152">
        <v>13.4</v>
      </c>
      <c r="I42" s="152">
        <v>13.49</v>
      </c>
      <c r="J42" s="152">
        <v>13.89</v>
      </c>
      <c r="K42" s="152">
        <v>14.4</v>
      </c>
      <c r="L42" s="152">
        <v>13.95</v>
      </c>
      <c r="M42" s="152">
        <v>13.65</v>
      </c>
      <c r="N42" s="152">
        <v>13.86</v>
      </c>
      <c r="O42" s="152">
        <v>14.26</v>
      </c>
      <c r="P42" s="152">
        <v>15.05</v>
      </c>
      <c r="Q42" s="152">
        <v>15.48</v>
      </c>
      <c r="R42" s="152">
        <v>16.91</v>
      </c>
      <c r="S42" s="153">
        <v>18.09</v>
      </c>
      <c r="T42" s="214">
        <f t="shared" si="27"/>
        <v>-1.6002900000000011</v>
      </c>
      <c r="U42" s="223">
        <f t="shared" si="28"/>
        <v>-0.12178767123287679</v>
      </c>
    </row>
    <row r="43" spans="1:26" x14ac:dyDescent="0.25">
      <c r="A43" s="143" t="s">
        <v>248</v>
      </c>
      <c r="B43" s="152">
        <v>13.1</v>
      </c>
      <c r="C43" s="152">
        <v>11.3</v>
      </c>
      <c r="D43" s="152">
        <v>11.7</v>
      </c>
      <c r="E43" s="152">
        <v>11.88</v>
      </c>
      <c r="F43" s="152">
        <v>11.99</v>
      </c>
      <c r="G43" s="152">
        <v>12.37</v>
      </c>
      <c r="H43" s="152">
        <v>12.82</v>
      </c>
      <c r="I43" s="152">
        <v>12.33</v>
      </c>
      <c r="J43" s="152">
        <v>11.09</v>
      </c>
      <c r="K43" s="152">
        <v>11.57</v>
      </c>
      <c r="L43" s="152">
        <v>12.51</v>
      </c>
      <c r="M43" s="152">
        <v>13.53</v>
      </c>
      <c r="N43" s="152">
        <v>13.95</v>
      </c>
      <c r="O43" s="152">
        <v>13.86</v>
      </c>
      <c r="P43" s="152">
        <v>14.53</v>
      </c>
      <c r="Q43" s="152">
        <v>14.18</v>
      </c>
      <c r="R43" s="152">
        <v>14.47</v>
      </c>
      <c r="S43" s="153">
        <v>15.76</v>
      </c>
      <c r="T43" s="214">
        <f t="shared" si="27"/>
        <v>-3.8703500000000002</v>
      </c>
      <c r="U43" s="223">
        <f t="shared" si="28"/>
        <v>-0.2954465648854962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8" t="s">
        <v>368</v>
      </c>
      <c r="B46" s="318"/>
      <c r="C46" s="318"/>
      <c r="D46" s="318"/>
      <c r="E46" s="318"/>
      <c r="F46" s="318"/>
      <c r="G46" s="318"/>
      <c r="H46" s="318"/>
      <c r="I46" s="318"/>
      <c r="J46" s="318"/>
      <c r="K46" s="318"/>
      <c r="L46" s="318"/>
      <c r="M46" s="318"/>
      <c r="N46" s="318"/>
      <c r="O46" s="318"/>
      <c r="P46" s="318"/>
      <c r="Q46" s="318"/>
      <c r="R46" s="318"/>
      <c r="S46" s="318"/>
    </row>
    <row r="47" spans="1:26" x14ac:dyDescent="0.25">
      <c r="A47" s="189" t="s">
        <v>186</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299</v>
      </c>
      <c r="B48" s="167">
        <f>(B38-B38)/B38</f>
        <v>0</v>
      </c>
      <c r="C48" s="167">
        <f>(C38-B38)/B38</f>
        <v>1.2358229598893498</v>
      </c>
      <c r="D48" s="167">
        <f>(D38-B38)/B38</f>
        <v>1.3333333333333333</v>
      </c>
      <c r="E48" s="167">
        <f>(E38-B38)/B38</f>
        <v>1.1929460580912863</v>
      </c>
      <c r="F48" s="167">
        <f>(F38-B38)/B38</f>
        <v>0.7116182572614107</v>
      </c>
      <c r="G48" s="167">
        <f>(G38-B38)/B38</f>
        <v>0.73029045643153512</v>
      </c>
      <c r="H48" s="167">
        <f>(H38-B38)/B38</f>
        <v>0.72821576763485452</v>
      </c>
      <c r="I48" s="167">
        <f t="shared" ref="I48:I53" si="29">(I38-B38)/B38</f>
        <v>-0.27316735822959898</v>
      </c>
      <c r="J48" s="167">
        <f t="shared" ref="J48:J53" si="30">(J38-B38)/B38</f>
        <v>-0.26141078838174281</v>
      </c>
      <c r="K48" s="167">
        <f t="shared" ref="K48:K53" si="31">(K38-B38)/B38</f>
        <v>-0.41632088520055333</v>
      </c>
      <c r="L48" s="167">
        <f t="shared" ref="L48:L53" si="32">(L38-B38)/B38</f>
        <v>-0.35062240663900412</v>
      </c>
      <c r="M48" s="167">
        <f t="shared" ref="M48:M53" si="33">(M38-B38)/B38</f>
        <v>-0.35615491009681882</v>
      </c>
      <c r="N48" s="167">
        <f t="shared" ref="N48:N53" si="34">(N38-B38)/B38</f>
        <v>-0.35408022130013839</v>
      </c>
      <c r="O48" s="167">
        <f t="shared" ref="O48:O53" si="35">(O38-B38)/B38</f>
        <v>-0.31189488243430163</v>
      </c>
      <c r="P48" s="167">
        <f t="shared" ref="P48:P53" si="36">(P38-B38)/B38</f>
        <v>-0.11894882434301525</v>
      </c>
      <c r="Q48" s="167">
        <f t="shared" ref="Q48:Q53" si="37">(Q38-B38)/B38</f>
        <v>-0.1099585062240665</v>
      </c>
      <c r="R48" s="167">
        <f t="shared" ref="R48:R53" si="38">(R38-B38)/B38</f>
        <v>-6.5698478561549173E-2</v>
      </c>
      <c r="S48" s="167">
        <f t="shared" ref="S48:S53" si="39">(S38-B38)/B38</f>
        <v>-5.4633471645919841E-2</v>
      </c>
    </row>
    <row r="49" spans="1:19" ht="15.75" thickTop="1" x14ac:dyDescent="0.25">
      <c r="A49" s="143" t="s">
        <v>195</v>
      </c>
      <c r="B49" s="147">
        <f>(B39-B39)/B39</f>
        <v>0</v>
      </c>
      <c r="C49" s="147">
        <f>(C39-B39)/B39</f>
        <v>7.7286389008158041E-2</v>
      </c>
      <c r="D49" s="147">
        <f>(D39-B39)/B39</f>
        <v>0.11764705882352951</v>
      </c>
      <c r="E49" s="147">
        <f>(E39-B39)/B39</f>
        <v>0.13739802490339198</v>
      </c>
      <c r="F49" s="147">
        <f>(F39-B39)/B39</f>
        <v>0.11292400171747542</v>
      </c>
      <c r="G49" s="147">
        <f>(G39-B39)/B39</f>
        <v>0.12494632889652213</v>
      </c>
      <c r="H49" s="147">
        <f>(H39-B39)/B39</f>
        <v>3.1343924431086322E-2</v>
      </c>
      <c r="I49" s="147">
        <f t="shared" si="29"/>
        <v>6.7840274796049885E-2</v>
      </c>
      <c r="J49" s="147">
        <f t="shared" si="30"/>
        <v>0.13525118076427661</v>
      </c>
      <c r="K49" s="147">
        <f t="shared" si="31"/>
        <v>0.18892228424216412</v>
      </c>
      <c r="L49" s="147">
        <f t="shared" si="32"/>
        <v>0.16659510519536294</v>
      </c>
      <c r="M49" s="147">
        <f t="shared" si="33"/>
        <v>0.19450407900386438</v>
      </c>
      <c r="N49" s="147">
        <f t="shared" si="34"/>
        <v>0.31429798196650927</v>
      </c>
      <c r="O49" s="147">
        <f t="shared" si="35"/>
        <v>0.31816230141691715</v>
      </c>
      <c r="P49" s="147">
        <f t="shared" si="36"/>
        <v>0.19879776728209544</v>
      </c>
      <c r="Q49" s="147">
        <f t="shared" si="37"/>
        <v>0.19879776728209544</v>
      </c>
      <c r="R49" s="147">
        <f t="shared" si="38"/>
        <v>0.19879776728209544</v>
      </c>
      <c r="S49" s="147">
        <f t="shared" si="39"/>
        <v>0.19879776728209544</v>
      </c>
    </row>
    <row r="50" spans="1:19" x14ac:dyDescent="0.25">
      <c r="A50" s="143" t="s">
        <v>196</v>
      </c>
      <c r="B50" s="147">
        <f>(B40-B40)/B40</f>
        <v>0</v>
      </c>
      <c r="C50" s="147">
        <f>(C40-B40)/B40</f>
        <v>-0.23441396508728179</v>
      </c>
      <c r="D50" s="147">
        <f>(D40-B40)/B40</f>
        <v>-0.25498753117206985</v>
      </c>
      <c r="E50" s="147">
        <f>(E40-B40)/B40</f>
        <v>-0.2312967581047381</v>
      </c>
      <c r="F50" s="147">
        <f>(F40-B40)/B40</f>
        <v>-0.13778054862842887</v>
      </c>
      <c r="G50" s="147">
        <f>(G40-B40)/B40</f>
        <v>-0.37219451371571066</v>
      </c>
      <c r="H50" s="147">
        <f>(H40-B40)/B40</f>
        <v>-0.44950124688279297</v>
      </c>
      <c r="I50" s="147">
        <f t="shared" si="29"/>
        <v>-0.25124688279301743</v>
      </c>
      <c r="J50" s="147">
        <f t="shared" si="30"/>
        <v>-0.15960099750623435</v>
      </c>
      <c r="K50" s="147">
        <f t="shared" si="31"/>
        <v>1.3715710723192172E-2</v>
      </c>
      <c r="L50" s="147">
        <f t="shared" si="32"/>
        <v>-0.20012468827930169</v>
      </c>
      <c r="M50" s="147">
        <f t="shared" si="33"/>
        <v>-0.31047381546134656</v>
      </c>
      <c r="N50" s="147">
        <f t="shared" si="34"/>
        <v>-0.32543640897755605</v>
      </c>
      <c r="O50" s="147">
        <f t="shared" si="35"/>
        <v>-0.19139650872817948</v>
      </c>
      <c r="P50" s="147">
        <f t="shared" si="36"/>
        <v>-0.16396508728179546</v>
      </c>
      <c r="Q50" s="147">
        <f t="shared" si="37"/>
        <v>-0.1807980049875311</v>
      </c>
      <c r="R50" s="147">
        <f t="shared" si="38"/>
        <v>5.4862842892768243E-2</v>
      </c>
      <c r="S50" s="147">
        <f t="shared" si="39"/>
        <v>0.44513715710723201</v>
      </c>
    </row>
    <row r="51" spans="1:19" x14ac:dyDescent="0.25">
      <c r="A51" s="143" t="s">
        <v>246</v>
      </c>
      <c r="B51" s="147">
        <f>(B41-B41)/B41</f>
        <v>0</v>
      </c>
      <c r="C51" s="147">
        <f>(C41-B41)/B41</f>
        <v>1.2415923129718598</v>
      </c>
      <c r="D51" s="147">
        <f>(D41-B41)/B41</f>
        <v>1.3692518874399453</v>
      </c>
      <c r="E51" s="147">
        <f>(E41-B41)/B41</f>
        <v>1.2649279341111874</v>
      </c>
      <c r="F51" s="147">
        <f>(F41-B41)/B41</f>
        <v>0.84557309540150993</v>
      </c>
      <c r="G51" s="147">
        <f>(G41-B41)/B41</f>
        <v>0.79272477693891563</v>
      </c>
      <c r="H51" s="147">
        <f>(H41-B41)/B41</f>
        <v>0.82566918325326022</v>
      </c>
      <c r="I51" s="147">
        <f t="shared" si="29"/>
        <v>0.77419354838709686</v>
      </c>
      <c r="J51" s="147">
        <f t="shared" si="30"/>
        <v>0.7789979409746054</v>
      </c>
      <c r="K51" s="147">
        <f t="shared" si="31"/>
        <v>0.59917638984214139</v>
      </c>
      <c r="L51" s="147">
        <f t="shared" si="32"/>
        <v>0.76870281400137264</v>
      </c>
      <c r="M51" s="147">
        <f t="shared" si="33"/>
        <v>0.73095401509951941</v>
      </c>
      <c r="N51" s="147">
        <f t="shared" si="34"/>
        <v>0.78929306794783805</v>
      </c>
      <c r="O51" s="147">
        <f t="shared" si="35"/>
        <v>0.40905971173644479</v>
      </c>
      <c r="P51" s="147">
        <f t="shared" si="36"/>
        <v>0.33768016472203144</v>
      </c>
      <c r="Q51" s="147">
        <f t="shared" si="37"/>
        <v>0.30267673301304049</v>
      </c>
      <c r="R51" s="147">
        <f t="shared" si="38"/>
        <v>-6.7947838023335635E-2</v>
      </c>
      <c r="S51" s="147">
        <f t="shared" si="39"/>
        <v>-1.0981468771448191E-2</v>
      </c>
    </row>
    <row r="52" spans="1:19" x14ac:dyDescent="0.25">
      <c r="A52" s="178" t="s">
        <v>247</v>
      </c>
      <c r="B52" s="147">
        <f t="shared" ref="B52:B53" si="40">(B42-B42)/B42</f>
        <v>0</v>
      </c>
      <c r="C52" s="147">
        <f t="shared" ref="C52:C53" si="41">(C42-B42)/B42</f>
        <v>-0.11719939117199397</v>
      </c>
      <c r="D52" s="147">
        <f t="shared" ref="D52:D53" si="42">(D42-B42)/B42</f>
        <v>-0.11643835616438364</v>
      </c>
      <c r="E52" s="147">
        <f t="shared" ref="E52:E53" si="43">(E42-B42)/B42</f>
        <v>-7.6103500761035003E-2</v>
      </c>
      <c r="F52" s="147">
        <f t="shared" ref="F52:F53" si="44">(F42-B42)/B42</f>
        <v>-2.5875190258751891E-2</v>
      </c>
      <c r="G52" s="147">
        <f t="shared" ref="G52:G53" si="45">(G42-B42)/B42</f>
        <v>-1.1415525114155278E-2</v>
      </c>
      <c r="H52" s="147">
        <f t="shared" ref="H52:H53" si="46">(H42-B42)/B42</f>
        <v>1.9786910197869084E-2</v>
      </c>
      <c r="I52" s="147">
        <f t="shared" si="29"/>
        <v>2.6636225266362223E-2</v>
      </c>
      <c r="J52" s="147">
        <f t="shared" si="30"/>
        <v>5.7077625570776253E-2</v>
      </c>
      <c r="K52" s="147">
        <f t="shared" si="31"/>
        <v>9.589041095890409E-2</v>
      </c>
      <c r="L52" s="147">
        <f t="shared" si="32"/>
        <v>6.1643835616438256E-2</v>
      </c>
      <c r="M52" s="147">
        <f t="shared" si="33"/>
        <v>3.8812785388127838E-2</v>
      </c>
      <c r="N52" s="147">
        <f t="shared" si="34"/>
        <v>5.4794520547945119E-2</v>
      </c>
      <c r="O52" s="147">
        <f t="shared" si="35"/>
        <v>8.5235920852359148E-2</v>
      </c>
      <c r="P52" s="147">
        <f t="shared" si="36"/>
        <v>0.14535768645357686</v>
      </c>
      <c r="Q52" s="147">
        <f t="shared" si="37"/>
        <v>0.17808219178082191</v>
      </c>
      <c r="R52" s="147">
        <f t="shared" si="38"/>
        <v>0.28691019786910194</v>
      </c>
      <c r="S52" s="147">
        <f t="shared" si="39"/>
        <v>0.37671232876712324</v>
      </c>
    </row>
    <row r="53" spans="1:19" x14ac:dyDescent="0.25">
      <c r="A53" s="143" t="s">
        <v>248</v>
      </c>
      <c r="B53" s="147">
        <f t="shared" si="40"/>
        <v>0</v>
      </c>
      <c r="C53" s="147">
        <f t="shared" si="41"/>
        <v>-0.13740458015267168</v>
      </c>
      <c r="D53" s="147">
        <f t="shared" si="42"/>
        <v>-0.10687022900763361</v>
      </c>
      <c r="E53" s="147">
        <f t="shared" si="43"/>
        <v>-9.3129770992366329E-2</v>
      </c>
      <c r="F53" s="147">
        <f t="shared" si="44"/>
        <v>-8.4732824427480868E-2</v>
      </c>
      <c r="G53" s="147">
        <f t="shared" si="45"/>
        <v>-5.572519083969469E-2</v>
      </c>
      <c r="H53" s="147">
        <f t="shared" si="46"/>
        <v>-2.1374045801526669E-2</v>
      </c>
      <c r="I53" s="147">
        <f t="shared" si="29"/>
        <v>-5.8778625954198443E-2</v>
      </c>
      <c r="J53" s="147">
        <f t="shared" si="30"/>
        <v>-0.15343511450381678</v>
      </c>
      <c r="K53" s="147">
        <f t="shared" si="31"/>
        <v>-0.11679389312977094</v>
      </c>
      <c r="L53" s="147">
        <f t="shared" si="32"/>
        <v>-4.5038167938931291E-2</v>
      </c>
      <c r="M53" s="147">
        <f t="shared" si="33"/>
        <v>3.2824427480916012E-2</v>
      </c>
      <c r="N53" s="147">
        <f t="shared" si="34"/>
        <v>6.4885496183206076E-2</v>
      </c>
      <c r="O53" s="147">
        <f t="shared" si="35"/>
        <v>5.8015267175572503E-2</v>
      </c>
      <c r="P53" s="147">
        <f t="shared" si="36"/>
        <v>0.10916030534351143</v>
      </c>
      <c r="Q53" s="147">
        <f t="shared" si="37"/>
        <v>8.2442748091603055E-2</v>
      </c>
      <c r="R53" s="147">
        <f t="shared" si="38"/>
        <v>0.1045801526717558</v>
      </c>
      <c r="S53" s="147">
        <f t="shared" si="39"/>
        <v>0.20305343511450383</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5:S35"/>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zoomScaleNormal="100" workbookViewId="0">
      <selection activeCell="M9" sqref="M9"/>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2" t="s">
        <v>300</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3" spans="1:28" ht="15.75" x14ac:dyDescent="0.25">
      <c r="A3" s="318" t="s">
        <v>301</v>
      </c>
      <c r="B3" s="318"/>
      <c r="C3" s="318"/>
      <c r="D3" s="318"/>
      <c r="E3" s="318"/>
      <c r="F3" s="318"/>
      <c r="G3" s="318"/>
      <c r="H3" s="318"/>
      <c r="I3" s="318"/>
      <c r="J3" s="318"/>
      <c r="K3" s="318"/>
      <c r="L3" s="318"/>
      <c r="M3" s="318"/>
      <c r="N3" s="318"/>
      <c r="O3" s="318"/>
      <c r="P3" s="318"/>
      <c r="Q3" s="318"/>
      <c r="R3" s="318"/>
      <c r="S3" s="318"/>
      <c r="T3" s="318"/>
      <c r="U3" s="318"/>
      <c r="V3" s="318"/>
      <c r="W3" s="318"/>
      <c r="X3" s="142"/>
    </row>
    <row r="4" spans="1:28" x14ac:dyDescent="0.2">
      <c r="A4" s="189" t="s">
        <v>186</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218</v>
      </c>
      <c r="B5" s="144">
        <f>'5C'!B19</f>
        <v>125</v>
      </c>
      <c r="C5" s="144">
        <f>'5C'!C19</f>
        <v>139</v>
      </c>
      <c r="D5" s="144">
        <f>'5C'!D19</f>
        <v>152</v>
      </c>
      <c r="E5" s="144">
        <f>'5C'!E19</f>
        <v>161</v>
      </c>
      <c r="F5" s="144">
        <f>'5C'!F19</f>
        <v>176</v>
      </c>
      <c r="G5" s="144">
        <f>'5C'!G19</f>
        <v>169</v>
      </c>
      <c r="H5" s="144">
        <f>'5C'!H19</f>
        <v>148</v>
      </c>
      <c r="I5" s="144">
        <f>'5C'!I19</f>
        <v>159</v>
      </c>
      <c r="J5" s="144">
        <f>'5C'!J19</f>
        <v>157</v>
      </c>
      <c r="K5" s="144">
        <f>'5C'!K19</f>
        <v>170</v>
      </c>
      <c r="L5" s="144">
        <f>'5C'!L19</f>
        <v>175</v>
      </c>
      <c r="M5" s="144">
        <f>'5C'!M19</f>
        <v>195</v>
      </c>
      <c r="N5" s="144">
        <f>'5C'!N19</f>
        <v>197</v>
      </c>
      <c r="O5" s="144">
        <f>'5C'!O19</f>
        <v>193</v>
      </c>
      <c r="P5" s="144">
        <f>'5C'!P19</f>
        <v>189</v>
      </c>
      <c r="Q5" s="144">
        <f>'5C'!Q19</f>
        <v>166</v>
      </c>
      <c r="R5" s="144">
        <f>'5C'!R19</f>
        <v>85</v>
      </c>
      <c r="S5" s="144">
        <f>'5C'!S19</f>
        <v>65</v>
      </c>
      <c r="T5" s="144">
        <f>'5C'!T19</f>
        <v>53</v>
      </c>
      <c r="U5" s="144">
        <f>'5C'!U19</f>
        <v>33</v>
      </c>
      <c r="V5" s="144">
        <f>'5C'!V19</f>
        <v>36</v>
      </c>
      <c r="W5" s="144">
        <f>'5C'!W19</f>
        <v>42</v>
      </c>
      <c r="X5" s="145"/>
    </row>
    <row r="6" spans="1:28" x14ac:dyDescent="0.2">
      <c r="A6" s="143" t="s">
        <v>219</v>
      </c>
      <c r="B6" s="144">
        <v>11397</v>
      </c>
      <c r="C6" s="144">
        <v>12608</v>
      </c>
      <c r="D6" s="144">
        <v>14351</v>
      </c>
      <c r="E6" s="144">
        <v>14916</v>
      </c>
      <c r="F6" s="144">
        <v>15586</v>
      </c>
      <c r="G6" s="144">
        <v>16533</v>
      </c>
      <c r="H6" s="144">
        <v>14850</v>
      </c>
      <c r="I6" s="144">
        <v>15608</v>
      </c>
      <c r="J6" s="144">
        <v>16187</v>
      </c>
      <c r="K6" s="144">
        <v>16358</v>
      </c>
      <c r="L6" s="144">
        <v>18002</v>
      </c>
      <c r="M6" s="144">
        <v>19622</v>
      </c>
      <c r="N6" s="144">
        <v>19750</v>
      </c>
      <c r="O6" s="144">
        <v>19021</v>
      </c>
      <c r="P6" s="144">
        <v>19802</v>
      </c>
      <c r="Q6" s="144">
        <v>17400</v>
      </c>
      <c r="R6" s="144">
        <v>16257</v>
      </c>
      <c r="S6" s="144">
        <v>12079</v>
      </c>
      <c r="T6" s="144">
        <v>8631</v>
      </c>
      <c r="U6" s="144">
        <v>4796</v>
      </c>
      <c r="V6" s="144">
        <v>3435</v>
      </c>
      <c r="W6" s="144">
        <v>4344</v>
      </c>
      <c r="X6" s="145"/>
    </row>
    <row r="7" spans="1:28" x14ac:dyDescent="0.2">
      <c r="A7" s="143" t="s">
        <v>220</v>
      </c>
      <c r="B7" s="144">
        <v>241633</v>
      </c>
      <c r="C7" s="144">
        <v>266625</v>
      </c>
      <c r="D7" s="144">
        <v>296677</v>
      </c>
      <c r="E7" s="144">
        <v>313183</v>
      </c>
      <c r="F7" s="144">
        <v>333940</v>
      </c>
      <c r="G7" s="144">
        <v>363872</v>
      </c>
      <c r="H7" s="144">
        <v>352112</v>
      </c>
      <c r="I7" s="144">
        <v>394219</v>
      </c>
      <c r="J7" s="144">
        <v>436449</v>
      </c>
      <c r="K7" s="144">
        <v>479093</v>
      </c>
      <c r="L7" s="144">
        <v>527455</v>
      </c>
      <c r="M7" s="144">
        <v>581178</v>
      </c>
      <c r="N7" s="144">
        <v>593379</v>
      </c>
      <c r="O7" s="144">
        <v>588151</v>
      </c>
      <c r="P7" s="144">
        <v>595373</v>
      </c>
      <c r="Q7" s="144">
        <v>578689</v>
      </c>
      <c r="R7" s="144">
        <v>581696</v>
      </c>
      <c r="S7" s="144">
        <v>558876</v>
      </c>
      <c r="T7" s="144">
        <v>526599</v>
      </c>
      <c r="U7" s="144">
        <v>432561</v>
      </c>
      <c r="V7" s="144">
        <v>363801</v>
      </c>
      <c r="W7" s="144">
        <v>385418</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8" t="s">
        <v>302</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8" x14ac:dyDescent="0.2">
      <c r="A11" s="189" t="s">
        <v>186</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218</v>
      </c>
      <c r="B12" s="170">
        <f>(B5-B5)/B5</f>
        <v>0</v>
      </c>
      <c r="C12" s="170">
        <f>(C5-B5)/B5</f>
        <v>0.112</v>
      </c>
      <c r="D12" s="170">
        <f>(D5-B5)/B5</f>
        <v>0.216</v>
      </c>
      <c r="E12" s="170">
        <f>(E5-B5)/B5</f>
        <v>0.28799999999999998</v>
      </c>
      <c r="F12" s="170">
        <f>(F5-B5)/B5</f>
        <v>0.40799999999999997</v>
      </c>
      <c r="G12" s="170">
        <f>(G5-B5)/B5</f>
        <v>0.35199999999999998</v>
      </c>
      <c r="H12" s="170">
        <f>(H5-B5)/B5</f>
        <v>0.184</v>
      </c>
      <c r="I12" s="170">
        <f>(I5-B5)/B5</f>
        <v>0.27200000000000002</v>
      </c>
      <c r="J12" s="170">
        <f>(J5-B5)/B5</f>
        <v>0.25600000000000001</v>
      </c>
      <c r="K12" s="170">
        <f>(K5-B5)/B5</f>
        <v>0.36</v>
      </c>
      <c r="L12" s="170">
        <f>(L5-B5)/B5</f>
        <v>0.4</v>
      </c>
      <c r="M12" s="170">
        <f>(M5-B5)/B5</f>
        <v>0.56000000000000005</v>
      </c>
      <c r="N12" s="170">
        <f>(N5-B5)/B5</f>
        <v>0.57599999999999996</v>
      </c>
      <c r="O12" s="170">
        <f>(O5-B5)/B5</f>
        <v>0.54400000000000004</v>
      </c>
      <c r="P12" s="170">
        <f>(P5-B5)/B5</f>
        <v>0.51200000000000001</v>
      </c>
      <c r="Q12" s="170">
        <f>(Q5-B5)/B5</f>
        <v>0.32800000000000001</v>
      </c>
      <c r="R12" s="170">
        <f>(R5-B5)/B5</f>
        <v>-0.32</v>
      </c>
      <c r="S12" s="170">
        <f>(S5-B5)/B5</f>
        <v>-0.48</v>
      </c>
      <c r="T12" s="170">
        <f>(T5-B5)/B5</f>
        <v>-0.57599999999999996</v>
      </c>
      <c r="U12" s="170">
        <f>(U5-B5)/B5</f>
        <v>-0.73599999999999999</v>
      </c>
      <c r="V12" s="170">
        <f>(V5-B5)/B5</f>
        <v>-0.71199999999999997</v>
      </c>
      <c r="W12" s="170">
        <f>(W5-B5)/B5</f>
        <v>-0.66400000000000003</v>
      </c>
    </row>
    <row r="13" spans="1:28" x14ac:dyDescent="0.2">
      <c r="A13" s="143" t="s">
        <v>219</v>
      </c>
      <c r="B13" s="170">
        <f>(B6-B6)/B6</f>
        <v>0</v>
      </c>
      <c r="C13" s="170">
        <f>(C6-B6)/B6</f>
        <v>0.10625603228919892</v>
      </c>
      <c r="D13" s="170">
        <f>(D6-B6)/B6</f>
        <v>0.25919101517943316</v>
      </c>
      <c r="E13" s="170">
        <f>(E6-B6)/B6</f>
        <v>0.30876546459594628</v>
      </c>
      <c r="F13" s="170">
        <f>(F6-B6)/B6</f>
        <v>0.36755286478897958</v>
      </c>
      <c r="G13" s="170">
        <f>(G6-B6)/B6</f>
        <v>0.45064490655435641</v>
      </c>
      <c r="H13" s="170">
        <f>(H6-B6)/B6</f>
        <v>0.30297446696499081</v>
      </c>
      <c r="I13" s="170">
        <f>(I6-B6)/B6</f>
        <v>0.36948319733263141</v>
      </c>
      <c r="J13" s="170">
        <f>(J6-B6)/B6</f>
        <v>0.42028604018601384</v>
      </c>
      <c r="K13" s="170">
        <f>(K6-B6)/B6</f>
        <v>0.4352899885934895</v>
      </c>
      <c r="L13" s="170">
        <f>(L6-B6)/B6</f>
        <v>0.5795384750372905</v>
      </c>
      <c r="M13" s="170">
        <f>(M6-B6)/B6</f>
        <v>0.72168114416074403</v>
      </c>
      <c r="N13" s="170">
        <f>(N6-B6)/B6</f>
        <v>0.73291216986926389</v>
      </c>
      <c r="O13" s="170">
        <f>(O6-B6)/B6</f>
        <v>0.66894796876370977</v>
      </c>
      <c r="P13" s="170">
        <f>(P6-B6)/B6</f>
        <v>0.73747477406335005</v>
      </c>
      <c r="Q13" s="170">
        <f>(Q6-B6)/B6</f>
        <v>0.52671755725190839</v>
      </c>
      <c r="R13" s="170">
        <f>(R6-B6)/B6</f>
        <v>0.42642800737036063</v>
      </c>
      <c r="S13" s="170">
        <f>(S6-B6)/B6</f>
        <v>5.9840308853206986E-2</v>
      </c>
      <c r="T13" s="170">
        <f>(T6-B6)/B6</f>
        <v>-0.24269544617004474</v>
      </c>
      <c r="U13" s="170">
        <f>(U6-B6)/B6</f>
        <v>-0.5791875054838993</v>
      </c>
      <c r="V13" s="170">
        <f>(V6-B6)/B6</f>
        <v>-0.69860489602526976</v>
      </c>
      <c r="W13" s="170">
        <f>(W6-B6)/B6</f>
        <v>-0.61884706501710973</v>
      </c>
    </row>
    <row r="14" spans="1:28" x14ac:dyDescent="0.2">
      <c r="A14" s="143" t="s">
        <v>220</v>
      </c>
      <c r="B14" s="170">
        <f>(B7-B7)/B7</f>
        <v>0</v>
      </c>
      <c r="C14" s="170">
        <f>(C7-B7)/B7</f>
        <v>0.10342958122441885</v>
      </c>
      <c r="D14" s="170">
        <f>(D7-B7)/B7</f>
        <v>0.22780001076011969</v>
      </c>
      <c r="E14" s="170">
        <f>(E7-B7)/B7</f>
        <v>0.29611021673364152</v>
      </c>
      <c r="F14" s="170">
        <f>(F7-B7)/B7</f>
        <v>0.38201321839318303</v>
      </c>
      <c r="G14" s="170">
        <f>(G7-B7)/B7</f>
        <v>0.50588702702031596</v>
      </c>
      <c r="H14" s="170">
        <f>(H7-B7)/B7</f>
        <v>0.45721817798065661</v>
      </c>
      <c r="I14" s="170">
        <f>(I7-B7)/B7</f>
        <v>0.63147831628957962</v>
      </c>
      <c r="J14" s="170">
        <f>(J7-B7)/B7</f>
        <v>0.80624749102978488</v>
      </c>
      <c r="K14" s="170">
        <f>(K7-B7)/B7</f>
        <v>0.98273000790454945</v>
      </c>
      <c r="L14" s="170">
        <f>(L7-B7)/B7</f>
        <v>1.182876511072577</v>
      </c>
      <c r="M14" s="170">
        <f>(M7-B7)/B7</f>
        <v>1.4052095533308777</v>
      </c>
      <c r="N14" s="170">
        <f>(N7-B7)/B7</f>
        <v>1.4557034842095244</v>
      </c>
      <c r="O14" s="170">
        <f>(O7-B7)/B7</f>
        <v>1.4340673666262473</v>
      </c>
      <c r="P14" s="170">
        <f>(P7-B7)/B7</f>
        <v>1.4639556683068953</v>
      </c>
      <c r="Q14" s="170">
        <f>(Q7-B7)/B7</f>
        <v>1.3949088079856642</v>
      </c>
      <c r="R14" s="170">
        <f>(R7-B7)/B7</f>
        <v>1.4073533002528629</v>
      </c>
      <c r="S14" s="170">
        <f>(S7-B7)/B7</f>
        <v>1.3129125574735239</v>
      </c>
      <c r="T14" s="170">
        <f>(T7-B7)/B7</f>
        <v>1.1793339485914589</v>
      </c>
      <c r="U14" s="170">
        <f>(U7-B7)/B7</f>
        <v>0.79015697359218318</v>
      </c>
      <c r="V14" s="170">
        <f>(V7-B7)/B7</f>
        <v>0.50559319298274652</v>
      </c>
      <c r="W14" s="170">
        <f>(W7-B7)/B7</f>
        <v>0.5950553111536917</v>
      </c>
    </row>
    <row r="16" spans="1:28" ht="15.75" x14ac:dyDescent="0.25">
      <c r="A16" s="318" t="s">
        <v>303</v>
      </c>
      <c r="B16" s="318"/>
      <c r="C16" s="318"/>
      <c r="D16" s="318"/>
      <c r="E16" s="318"/>
      <c r="F16" s="318"/>
      <c r="G16" s="318"/>
      <c r="H16" s="318"/>
      <c r="I16" s="318"/>
      <c r="J16" s="318"/>
      <c r="K16" s="318"/>
      <c r="L16" s="318"/>
      <c r="M16" s="318"/>
      <c r="N16" s="318"/>
      <c r="O16" s="318"/>
      <c r="P16" s="318"/>
      <c r="Q16" s="318"/>
      <c r="R16" s="318"/>
      <c r="S16" s="318"/>
      <c r="T16"/>
      <c r="U16"/>
      <c r="V16"/>
      <c r="W16"/>
    </row>
    <row r="17" spans="1:23" ht="15" x14ac:dyDescent="0.25">
      <c r="A17" s="189" t="s">
        <v>186</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218</v>
      </c>
      <c r="B18" s="150">
        <f>'5C'!B38</f>
        <v>14.46</v>
      </c>
      <c r="C18" s="150">
        <f>'5C'!C38</f>
        <v>32.33</v>
      </c>
      <c r="D18" s="150">
        <f>'5C'!D38</f>
        <v>33.74</v>
      </c>
      <c r="E18" s="150">
        <f>'5C'!E38</f>
        <v>31.71</v>
      </c>
      <c r="F18" s="150">
        <f>'5C'!F38</f>
        <v>24.75</v>
      </c>
      <c r="G18" s="150">
        <f>'5C'!G38</f>
        <v>25.02</v>
      </c>
      <c r="H18" s="150">
        <f>'5C'!H38</f>
        <v>24.99</v>
      </c>
      <c r="I18" s="150">
        <f>'5C'!I38</f>
        <v>10.51</v>
      </c>
      <c r="J18" s="150">
        <f>'5C'!J38</f>
        <v>10.68</v>
      </c>
      <c r="K18" s="150">
        <f>'5C'!K38</f>
        <v>8.44</v>
      </c>
      <c r="L18" s="150">
        <f>'5C'!L38</f>
        <v>9.39</v>
      </c>
      <c r="M18" s="150">
        <f>'5C'!M38</f>
        <v>9.31</v>
      </c>
      <c r="N18" s="150">
        <f>'5C'!N38</f>
        <v>9.34</v>
      </c>
      <c r="O18" s="150">
        <f>'5C'!O38</f>
        <v>9.9499999999999993</v>
      </c>
      <c r="P18" s="150">
        <f>'5C'!P38</f>
        <v>12.74</v>
      </c>
      <c r="Q18" s="150">
        <f>'5C'!Q38</f>
        <v>12.87</v>
      </c>
      <c r="R18" s="150">
        <f>'5C'!R38</f>
        <v>13.51</v>
      </c>
      <c r="S18" s="150">
        <f>'5C'!S38</f>
        <v>13.67</v>
      </c>
      <c r="T18"/>
      <c r="U18"/>
      <c r="V18"/>
      <c r="W18"/>
    </row>
    <row r="19" spans="1:23" ht="15" x14ac:dyDescent="0.25">
      <c r="A19" s="143" t="s">
        <v>219</v>
      </c>
      <c r="B19" s="150">
        <v>15.33</v>
      </c>
      <c r="C19" s="150">
        <v>21.09</v>
      </c>
      <c r="D19" s="150">
        <v>22.62</v>
      </c>
      <c r="E19" s="150">
        <v>23.41</v>
      </c>
      <c r="F19" s="150">
        <v>17.850000000000001</v>
      </c>
      <c r="G19" s="150">
        <v>17.2</v>
      </c>
      <c r="H19" s="150">
        <v>15.76</v>
      </c>
      <c r="I19" s="150">
        <v>11.16</v>
      </c>
      <c r="J19" s="150">
        <v>11.11</v>
      </c>
      <c r="K19" s="150">
        <v>11.2</v>
      </c>
      <c r="L19" s="150">
        <v>11.27</v>
      </c>
      <c r="M19" s="150">
        <v>12.13</v>
      </c>
      <c r="N19" s="150">
        <v>12.14</v>
      </c>
      <c r="O19" s="150">
        <v>13.42</v>
      </c>
      <c r="P19" s="150">
        <v>12.8</v>
      </c>
      <c r="Q19" s="150">
        <v>12.3</v>
      </c>
      <c r="R19" s="150">
        <v>14.44</v>
      </c>
      <c r="S19" s="219">
        <v>15.05</v>
      </c>
      <c r="T19"/>
      <c r="U19"/>
      <c r="V19"/>
      <c r="W19"/>
    </row>
    <row r="20" spans="1:23" ht="15" x14ac:dyDescent="0.25">
      <c r="A20" s="143" t="s">
        <v>220</v>
      </c>
      <c r="B20" s="150">
        <v>13.39</v>
      </c>
      <c r="C20" s="150">
        <v>13.51</v>
      </c>
      <c r="D20" s="150">
        <v>14.01</v>
      </c>
      <c r="E20" s="150">
        <v>14.58</v>
      </c>
      <c r="F20" s="150">
        <v>14.98</v>
      </c>
      <c r="G20" s="150">
        <v>14.2</v>
      </c>
      <c r="H20" s="150">
        <v>14.02</v>
      </c>
      <c r="I20" s="150">
        <v>12.7</v>
      </c>
      <c r="J20" s="150">
        <v>12.65</v>
      </c>
      <c r="K20" s="150">
        <v>12.91</v>
      </c>
      <c r="L20" s="150">
        <v>13.11</v>
      </c>
      <c r="M20" s="150">
        <v>13.52</v>
      </c>
      <c r="N20" s="150">
        <v>13.73</v>
      </c>
      <c r="O20" s="150">
        <v>13.88</v>
      </c>
      <c r="P20" s="150">
        <v>13.84</v>
      </c>
      <c r="Q20" s="150">
        <v>14.12</v>
      </c>
      <c r="R20" s="150">
        <v>14.47</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8" t="s">
        <v>304</v>
      </c>
      <c r="B23" s="318"/>
      <c r="C23" s="318"/>
      <c r="D23" s="318"/>
      <c r="E23" s="318"/>
      <c r="F23" s="318"/>
      <c r="G23" s="318"/>
      <c r="H23" s="318"/>
      <c r="I23" s="318"/>
      <c r="J23" s="318"/>
      <c r="K23" s="318"/>
      <c r="L23" s="318"/>
      <c r="M23" s="318"/>
      <c r="N23" s="318"/>
      <c r="O23" s="318"/>
      <c r="P23" s="318"/>
      <c r="Q23" s="318"/>
      <c r="R23" s="318"/>
      <c r="S23" s="318"/>
      <c r="T23"/>
      <c r="U23"/>
      <c r="V23"/>
      <c r="W23"/>
    </row>
    <row r="24" spans="1:23" ht="15" x14ac:dyDescent="0.25">
      <c r="A24" s="189" t="s">
        <v>186</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218</v>
      </c>
      <c r="B25" s="170">
        <f>(B18-B18)/B18</f>
        <v>0</v>
      </c>
      <c r="C25" s="170">
        <f>(C18-B18)/B18</f>
        <v>1.2358229598893498</v>
      </c>
      <c r="D25" s="170">
        <f>(D18-B18)/B18</f>
        <v>1.3333333333333333</v>
      </c>
      <c r="E25" s="170">
        <f>(E18-B18)/B18</f>
        <v>1.1929460580912863</v>
      </c>
      <c r="F25" s="170">
        <f>(F18-B18)/B18</f>
        <v>0.7116182572614107</v>
      </c>
      <c r="G25" s="170">
        <f>(G18-B18)/B18</f>
        <v>0.73029045643153512</v>
      </c>
      <c r="H25" s="170">
        <f>(H18-B18)/B18</f>
        <v>0.72821576763485452</v>
      </c>
      <c r="I25" s="170">
        <f>(I18-B18)/B18</f>
        <v>-0.27316735822959898</v>
      </c>
      <c r="J25" s="170">
        <f>(J18-B18)/B18</f>
        <v>-0.26141078838174281</v>
      </c>
      <c r="K25" s="170">
        <f>(K18-B18)/B18</f>
        <v>-0.41632088520055333</v>
      </c>
      <c r="L25" s="170">
        <f>(L18-B18)/B18</f>
        <v>-0.35062240663900412</v>
      </c>
      <c r="M25" s="170">
        <f>(M18-B18)/B18</f>
        <v>-0.35615491009681882</v>
      </c>
      <c r="N25" s="170">
        <f>(N18-B18)/B18</f>
        <v>-0.35408022130013839</v>
      </c>
      <c r="O25" s="170">
        <f>(O18-B18)/B18</f>
        <v>-0.31189488243430163</v>
      </c>
      <c r="P25" s="170">
        <f>(P18-B18)/B18</f>
        <v>-0.11894882434301525</v>
      </c>
      <c r="Q25" s="170">
        <f>(Q18-B18)/B18</f>
        <v>-0.1099585062240665</v>
      </c>
      <c r="R25" s="170">
        <f>(R18-B18)/B18</f>
        <v>-6.5698478561549173E-2</v>
      </c>
      <c r="S25" s="170">
        <f>(S18-B18)/B18</f>
        <v>-5.4633471645919841E-2</v>
      </c>
      <c r="T25"/>
      <c r="U25"/>
      <c r="V25"/>
      <c r="W25"/>
    </row>
    <row r="26" spans="1:23" ht="15" x14ac:dyDescent="0.25">
      <c r="A26" s="143" t="s">
        <v>219</v>
      </c>
      <c r="B26" s="170">
        <f>(B19-B19)/B19</f>
        <v>0</v>
      </c>
      <c r="C26" s="170">
        <f>(C19-B19)/B19</f>
        <v>0.37573385518590996</v>
      </c>
      <c r="D26" s="170">
        <f>(D19-B19)/B19</f>
        <v>0.4755381604696674</v>
      </c>
      <c r="E26" s="170">
        <f>(E19-B19)/B19</f>
        <v>0.52707110241356814</v>
      </c>
      <c r="F26" s="170">
        <f>(F19-B19)/B19</f>
        <v>0.16438356164383569</v>
      </c>
      <c r="G26" s="170">
        <f>(G19-B19)/B19</f>
        <v>0.12198303979125892</v>
      </c>
      <c r="H26" s="170">
        <f>(H19-B19)/B19</f>
        <v>2.8049575994781455E-2</v>
      </c>
      <c r="I26" s="170">
        <f>(I19-B19)/B19</f>
        <v>-0.2720156555772994</v>
      </c>
      <c r="J26" s="170">
        <f>(J19-B19)/B19</f>
        <v>-0.27527723418134381</v>
      </c>
      <c r="K26" s="170">
        <f>(K19-B19)/B19</f>
        <v>-0.26940639269406397</v>
      </c>
      <c r="L26" s="170">
        <f>(L19-B19)/B19</f>
        <v>-0.26484018264840187</v>
      </c>
      <c r="M26" s="170">
        <f>(M19-B19)/B19</f>
        <v>-0.20874103065883884</v>
      </c>
      <c r="N26" s="170">
        <f>(N19-B19)/B19</f>
        <v>-0.20808871493802997</v>
      </c>
      <c r="O26" s="170">
        <f>(O19-B19)/B19</f>
        <v>-0.12459230267449446</v>
      </c>
      <c r="P26" s="170">
        <f>(P19-B19)/B19</f>
        <v>-0.16503587736464445</v>
      </c>
      <c r="Q26" s="170">
        <f>(Q19-B19)/B19</f>
        <v>-0.19765166340508802</v>
      </c>
      <c r="R26" s="170">
        <f>(R19-B19)/B19</f>
        <v>-5.8056099151989601E-2</v>
      </c>
      <c r="S26" s="170">
        <f>(S19-B19)/B19</f>
        <v>-1.8264840182648359E-2</v>
      </c>
      <c r="T26"/>
      <c r="U26"/>
      <c r="V26"/>
      <c r="W26"/>
    </row>
    <row r="27" spans="1:23" ht="15" x14ac:dyDescent="0.25">
      <c r="A27" s="143" t="s">
        <v>220</v>
      </c>
      <c r="B27" s="170">
        <f>(B20-B20)/B20</f>
        <v>0</v>
      </c>
      <c r="C27" s="170">
        <f>(C20-B20)/B20</f>
        <v>8.9619118745331745E-3</v>
      </c>
      <c r="D27" s="170">
        <f>(D20-B20)/B20</f>
        <v>4.6303211351754983E-2</v>
      </c>
      <c r="E27" s="170">
        <f>(E20-B20)/B20</f>
        <v>8.8872292755787854E-2</v>
      </c>
      <c r="F27" s="170">
        <f>(F20-B20)/B20</f>
        <v>0.11874533233756533</v>
      </c>
      <c r="G27" s="170">
        <f>(G20-B20)/B20</f>
        <v>6.0492905153099227E-2</v>
      </c>
      <c r="H27" s="170">
        <f>(H20-B20)/B20</f>
        <v>4.7050037341299401E-2</v>
      </c>
      <c r="I27" s="170">
        <f>(I20-B20)/B20</f>
        <v>-5.1530993278566188E-2</v>
      </c>
      <c r="J27" s="170">
        <f>(J20-B20)/B20</f>
        <v>-5.5265123226288286E-2</v>
      </c>
      <c r="K27" s="170">
        <f>(K20-B20)/B20</f>
        <v>-3.5847647498132969E-2</v>
      </c>
      <c r="L27" s="170">
        <f>(L20-B20)/B20</f>
        <v>-2.0911127707244296E-2</v>
      </c>
      <c r="M27" s="170">
        <f>(M20-B20)/B20</f>
        <v>9.7087378640775945E-3</v>
      </c>
      <c r="N27" s="170">
        <f>(N20-B20)/B20</f>
        <v>2.5392083644510816E-2</v>
      </c>
      <c r="O27" s="170">
        <f>(O20-B20)/B20</f>
        <v>3.6594473487677387E-2</v>
      </c>
      <c r="P27" s="170">
        <f>(P20-B20)/B20</f>
        <v>3.3607169529499575E-2</v>
      </c>
      <c r="Q27" s="170">
        <f>(Q20-B20)/B20</f>
        <v>5.4518297236743736E-2</v>
      </c>
      <c r="R27" s="170">
        <f>(R20-B20)/B20</f>
        <v>8.0657206870799109E-2</v>
      </c>
      <c r="S27" s="170">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305</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4" spans="1:27" ht="15" x14ac:dyDescent="0.25">
      <c r="A4" s="323" t="s">
        <v>335</v>
      </c>
      <c r="B4" s="323"/>
      <c r="C4" s="323"/>
      <c r="D4" s="323"/>
    </row>
    <row r="5" spans="1:27" ht="15" x14ac:dyDescent="0.25">
      <c r="A5" s="324" t="s">
        <v>201</v>
      </c>
      <c r="B5" s="325"/>
      <c r="C5" s="324" t="s">
        <v>202</v>
      </c>
      <c r="D5" s="324"/>
    </row>
    <row r="6" spans="1:27" x14ac:dyDescent="0.2">
      <c r="A6" s="154" t="s">
        <v>203</v>
      </c>
      <c r="B6" s="155" t="s">
        <v>192</v>
      </c>
      <c r="C6" s="154" t="s">
        <v>203</v>
      </c>
      <c r="D6" s="156" t="s">
        <v>192</v>
      </c>
    </row>
    <row r="7" spans="1:27" x14ac:dyDescent="0.2">
      <c r="A7" s="1" t="s">
        <v>306</v>
      </c>
      <c r="B7" s="157">
        <v>0.16297700000000001</v>
      </c>
      <c r="C7" s="1" t="s">
        <v>306</v>
      </c>
      <c r="D7" s="158">
        <v>0.17299999999999999</v>
      </c>
    </row>
    <row r="8" spans="1:27" x14ac:dyDescent="0.2">
      <c r="A8" s="1" t="s">
        <v>283</v>
      </c>
      <c r="B8" s="157">
        <v>0.12797</v>
      </c>
      <c r="C8" s="1" t="s">
        <v>209</v>
      </c>
      <c r="D8" s="158">
        <v>0.1477</v>
      </c>
    </row>
    <row r="9" spans="1:27" x14ac:dyDescent="0.2">
      <c r="A9" s="1" t="s">
        <v>206</v>
      </c>
      <c r="B9" s="157">
        <v>8.9389999999999997E-2</v>
      </c>
      <c r="C9" s="1" t="s">
        <v>283</v>
      </c>
      <c r="D9" s="158">
        <v>0.1409</v>
      </c>
    </row>
    <row r="10" spans="1:27" x14ac:dyDescent="0.2">
      <c r="A10" s="1" t="s">
        <v>209</v>
      </c>
      <c r="B10" s="157">
        <v>6.3600000000000004E-2</v>
      </c>
      <c r="C10" s="1" t="s">
        <v>210</v>
      </c>
      <c r="D10" s="158">
        <v>0.1331</v>
      </c>
    </row>
    <row r="11" spans="1:27" x14ac:dyDescent="0.2">
      <c r="A11" s="1" t="s">
        <v>307</v>
      </c>
      <c r="B11" s="157">
        <v>6.3299999999999995E-2</v>
      </c>
      <c r="C11" s="1" t="s">
        <v>206</v>
      </c>
      <c r="D11" s="158">
        <v>0.13009999999999999</v>
      </c>
    </row>
    <row r="12" spans="1:27" x14ac:dyDescent="0.2">
      <c r="A12" s="1" t="s">
        <v>212</v>
      </c>
      <c r="B12" s="157">
        <v>6.0600000000000001E-2</v>
      </c>
      <c r="C12" s="1" t="s">
        <v>308</v>
      </c>
      <c r="D12" s="158">
        <v>6.0999999999999999E-2</v>
      </c>
    </row>
    <row r="13" spans="1:27" x14ac:dyDescent="0.2">
      <c r="A13" s="1" t="s">
        <v>207</v>
      </c>
      <c r="B13" s="157">
        <v>5.8700000000000002E-2</v>
      </c>
      <c r="C13" s="1" t="s">
        <v>207</v>
      </c>
      <c r="D13" s="158">
        <v>5.8000000000000003E-2</v>
      </c>
    </row>
    <row r="14" spans="1:27" x14ac:dyDescent="0.2">
      <c r="A14" s="1" t="s">
        <v>214</v>
      </c>
      <c r="B14" s="157">
        <v>5.6599999999999998E-2</v>
      </c>
      <c r="C14" s="1" t="s">
        <v>212</v>
      </c>
      <c r="D14" s="158">
        <v>5.57E-2</v>
      </c>
    </row>
    <row r="15" spans="1:27" x14ac:dyDescent="0.2">
      <c r="A15" s="1" t="s">
        <v>210</v>
      </c>
      <c r="B15" s="157">
        <v>5.1299999999999998E-2</v>
      </c>
      <c r="C15" s="1" t="s">
        <v>307</v>
      </c>
      <c r="D15" s="158">
        <v>5.0200000000000002E-2</v>
      </c>
    </row>
    <row r="16" spans="1:27" x14ac:dyDescent="0.2">
      <c r="A16" s="1" t="s">
        <v>213</v>
      </c>
      <c r="B16" s="157">
        <v>5.0880000000000002E-2</v>
      </c>
      <c r="C16" s="1" t="s">
        <v>213</v>
      </c>
      <c r="D16" s="158">
        <v>4.8899999999999999E-2</v>
      </c>
    </row>
    <row r="17" spans="2:2" x14ac:dyDescent="0.2">
      <c r="B17" s="1" t="s">
        <v>309</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topLeftCell="A28" zoomScaleNormal="100" workbookViewId="0">
      <selection activeCell="B49" sqref="B49"/>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42" t="s">
        <v>66</v>
      </c>
      <c r="B1" s="242"/>
      <c r="C1" s="242"/>
      <c r="D1" s="242"/>
      <c r="E1" s="242"/>
      <c r="F1" s="242"/>
      <c r="G1" s="242"/>
      <c r="H1" s="242"/>
      <c r="I1" s="242"/>
      <c r="J1" s="242"/>
      <c r="K1" s="242"/>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67</v>
      </c>
    </row>
    <row r="4" spans="1:32" ht="18" x14ac:dyDescent="0.25">
      <c r="A4" s="87"/>
    </row>
    <row r="5" spans="1:32" ht="15" x14ac:dyDescent="0.25">
      <c r="A5" s="88" t="s">
        <v>68</v>
      </c>
    </row>
    <row r="6" spans="1:32" ht="70.5" customHeight="1" x14ac:dyDescent="0.2">
      <c r="A6" s="275" t="s">
        <v>69</v>
      </c>
      <c r="B6" s="275"/>
      <c r="C6" s="275"/>
      <c r="D6" s="275"/>
    </row>
    <row r="8" spans="1:32" ht="15" x14ac:dyDescent="0.25">
      <c r="A8" s="88" t="s">
        <v>70</v>
      </c>
    </row>
    <row r="9" spans="1:32" ht="91.5" customHeight="1" x14ac:dyDescent="0.2">
      <c r="A9" s="275" t="s">
        <v>71</v>
      </c>
      <c r="B9" s="275"/>
      <c r="C9" s="275"/>
      <c r="D9" s="275"/>
    </row>
    <row r="10" spans="1:32" ht="15.75" customHeight="1" x14ac:dyDescent="0.2">
      <c r="A10" s="89"/>
      <c r="B10" s="89"/>
      <c r="C10" s="89"/>
      <c r="D10" s="89"/>
    </row>
    <row r="11" spans="1:32" ht="30.75" customHeight="1" x14ac:dyDescent="0.2">
      <c r="A11" s="275" t="s">
        <v>72</v>
      </c>
      <c r="B11" s="275"/>
      <c r="C11" s="275"/>
      <c r="D11" s="275"/>
    </row>
    <row r="12" spans="1:32" ht="15" thickBot="1" x14ac:dyDescent="0.25">
      <c r="A12" s="89"/>
      <c r="B12" s="89"/>
      <c r="C12" s="89"/>
      <c r="D12" s="89"/>
    </row>
    <row r="13" spans="1:32" ht="15.75" thickBot="1" x14ac:dyDescent="0.25">
      <c r="A13" s="272" t="s">
        <v>73</v>
      </c>
      <c r="B13" s="273"/>
    </row>
    <row r="14" spans="1:32" ht="15.75" thickBot="1" x14ac:dyDescent="0.25">
      <c r="A14" s="90" t="s">
        <v>74</v>
      </c>
      <c r="B14" s="91" t="s">
        <v>75</v>
      </c>
    </row>
    <row r="15" spans="1:32" ht="15" thickBot="1" x14ac:dyDescent="0.25">
      <c r="A15" s="92" t="s">
        <v>76</v>
      </c>
      <c r="B15" s="93" t="s">
        <v>77</v>
      </c>
    </row>
    <row r="16" spans="1:32" ht="29.25" thickBot="1" x14ac:dyDescent="0.25">
      <c r="A16" s="92" t="s">
        <v>78</v>
      </c>
      <c r="B16" s="93" t="s">
        <v>79</v>
      </c>
    </row>
    <row r="17" spans="1:4" ht="29.25" thickBot="1" x14ac:dyDescent="0.25">
      <c r="A17" s="92" t="s">
        <v>80</v>
      </c>
      <c r="B17" s="93" t="s">
        <v>81</v>
      </c>
    </row>
    <row r="18" spans="1:4" ht="15" thickBot="1" x14ac:dyDescent="0.25">
      <c r="A18" s="92" t="s">
        <v>82</v>
      </c>
      <c r="B18" s="93" t="s">
        <v>83</v>
      </c>
    </row>
    <row r="19" spans="1:4" ht="15" thickBot="1" x14ac:dyDescent="0.25">
      <c r="A19" s="92" t="s">
        <v>84</v>
      </c>
      <c r="B19" s="93" t="s">
        <v>85</v>
      </c>
    </row>
    <row r="20" spans="1:4" ht="29.25" thickBot="1" x14ac:dyDescent="0.25">
      <c r="A20" s="92" t="s">
        <v>86</v>
      </c>
      <c r="B20" s="93" t="s">
        <v>87</v>
      </c>
    </row>
    <row r="21" spans="1:4" ht="15" thickBot="1" x14ac:dyDescent="0.25">
      <c r="A21" s="92" t="s">
        <v>88</v>
      </c>
      <c r="B21" s="93" t="s">
        <v>89</v>
      </c>
    </row>
    <row r="22" spans="1:4" ht="15" thickBot="1" x14ac:dyDescent="0.25">
      <c r="A22" s="92" t="s">
        <v>90</v>
      </c>
      <c r="B22" s="93" t="s">
        <v>91</v>
      </c>
    </row>
    <row r="24" spans="1:4" ht="60" customHeight="1" x14ac:dyDescent="0.2">
      <c r="A24" s="274" t="s">
        <v>92</v>
      </c>
      <c r="B24" s="274"/>
      <c r="C24" s="274"/>
      <c r="D24" s="274"/>
    </row>
    <row r="25" spans="1:4" ht="15" x14ac:dyDescent="0.25">
      <c r="A25" s="94" t="s">
        <v>93</v>
      </c>
      <c r="B25" s="95" t="s">
        <v>94</v>
      </c>
      <c r="C25" s="95" t="s">
        <v>95</v>
      </c>
      <c r="D25" s="95" t="s">
        <v>96</v>
      </c>
    </row>
    <row r="26" spans="1:4" x14ac:dyDescent="0.2">
      <c r="A26" s="96" t="s">
        <v>51</v>
      </c>
      <c r="B26" s="97" t="s">
        <v>97</v>
      </c>
      <c r="C26" s="97" t="s">
        <v>41</v>
      </c>
      <c r="D26" s="97" t="s">
        <v>98</v>
      </c>
    </row>
    <row r="27" spans="1:4" x14ac:dyDescent="0.2">
      <c r="A27" s="96" t="s">
        <v>52</v>
      </c>
      <c r="B27" s="97" t="s">
        <v>97</v>
      </c>
      <c r="C27" s="97" t="s">
        <v>97</v>
      </c>
      <c r="D27" s="97" t="s">
        <v>98</v>
      </c>
    </row>
    <row r="28" spans="1:4" ht="47.25" customHeight="1" x14ac:dyDescent="0.2">
      <c r="A28" s="96" t="s">
        <v>54</v>
      </c>
      <c r="B28" s="97" t="s">
        <v>97</v>
      </c>
      <c r="C28" s="97" t="s">
        <v>97</v>
      </c>
      <c r="D28" s="97" t="s">
        <v>98</v>
      </c>
    </row>
    <row r="29" spans="1:4" x14ac:dyDescent="0.2">
      <c r="A29" s="96" t="s">
        <v>56</v>
      </c>
      <c r="B29" s="97" t="s">
        <v>97</v>
      </c>
      <c r="C29" s="97" t="s">
        <v>97</v>
      </c>
      <c r="D29" s="97" t="s">
        <v>98</v>
      </c>
    </row>
    <row r="30" spans="1:4" x14ac:dyDescent="0.2">
      <c r="A30" s="96" t="s">
        <v>60</v>
      </c>
      <c r="B30" s="97" t="s">
        <v>97</v>
      </c>
      <c r="C30" s="97" t="s">
        <v>41</v>
      </c>
      <c r="D30" s="97" t="s">
        <v>99</v>
      </c>
    </row>
    <row r="31" spans="1:4" x14ac:dyDescent="0.2">
      <c r="A31" s="96" t="s">
        <v>62</v>
      </c>
      <c r="B31" s="97" t="s">
        <v>97</v>
      </c>
      <c r="C31" s="97" t="s">
        <v>97</v>
      </c>
      <c r="D31" s="97" t="s">
        <v>41</v>
      </c>
    </row>
    <row r="32" spans="1:4" x14ac:dyDescent="0.2">
      <c r="A32" s="96" t="s">
        <v>63</v>
      </c>
      <c r="B32" s="97" t="s">
        <v>97</v>
      </c>
      <c r="C32" s="97" t="s">
        <v>97</v>
      </c>
      <c r="D32" s="97" t="s">
        <v>97</v>
      </c>
    </row>
    <row r="33" spans="1:4" x14ac:dyDescent="0.2">
      <c r="A33" s="96" t="s">
        <v>65</v>
      </c>
      <c r="B33" s="97" t="s">
        <v>97</v>
      </c>
      <c r="C33" s="97" t="s">
        <v>97</v>
      </c>
      <c r="D33" s="97" t="s">
        <v>100</v>
      </c>
    </row>
    <row r="35" spans="1:4" x14ac:dyDescent="0.2">
      <c r="A35" s="98" t="s">
        <v>101</v>
      </c>
    </row>
    <row r="36" spans="1:4" ht="15.75" thickBot="1" x14ac:dyDescent="0.3">
      <c r="A36" s="44" t="s">
        <v>102</v>
      </c>
    </row>
    <row r="37" spans="1:4" ht="30.75" thickBot="1" x14ac:dyDescent="0.25">
      <c r="A37" s="99" t="s">
        <v>103</v>
      </c>
      <c r="B37" s="100" t="s">
        <v>104</v>
      </c>
      <c r="C37" s="100" t="s">
        <v>95</v>
      </c>
      <c r="D37" s="101" t="s">
        <v>105</v>
      </c>
    </row>
    <row r="38" spans="1:4" ht="57.75" thickBot="1" x14ac:dyDescent="0.25">
      <c r="A38" s="102" t="s">
        <v>106</v>
      </c>
      <c r="B38" s="103" t="s">
        <v>107</v>
      </c>
      <c r="C38" s="103" t="s">
        <v>108</v>
      </c>
      <c r="D38" s="103" t="s">
        <v>109</v>
      </c>
    </row>
    <row r="39" spans="1:4" ht="43.5" thickBot="1" x14ac:dyDescent="0.25">
      <c r="A39" s="104" t="s">
        <v>110</v>
      </c>
      <c r="B39" s="103" t="s">
        <v>111</v>
      </c>
      <c r="C39" s="103" t="s">
        <v>109</v>
      </c>
      <c r="D39" s="103" t="s">
        <v>109</v>
      </c>
    </row>
    <row r="40" spans="1:4" ht="57.75" thickBot="1" x14ac:dyDescent="0.25">
      <c r="A40" s="104" t="s">
        <v>112</v>
      </c>
      <c r="B40" s="103" t="s">
        <v>113</v>
      </c>
      <c r="C40" s="103" t="s">
        <v>114</v>
      </c>
      <c r="D40" s="103" t="s">
        <v>77</v>
      </c>
    </row>
    <row r="41" spans="1:4" ht="15.75" thickBot="1" x14ac:dyDescent="0.25">
      <c r="A41" s="102" t="s">
        <v>115</v>
      </c>
      <c r="B41" s="103" t="s">
        <v>116</v>
      </c>
      <c r="C41" s="103" t="s">
        <v>117</v>
      </c>
      <c r="D41" s="103" t="s">
        <v>118</v>
      </c>
    </row>
    <row r="42" spans="1:4" ht="43.5" thickBot="1" x14ac:dyDescent="0.25">
      <c r="A42" s="102" t="s">
        <v>119</v>
      </c>
      <c r="B42" s="103" t="s">
        <v>120</v>
      </c>
      <c r="C42" s="103" t="s">
        <v>121</v>
      </c>
      <c r="D42" s="103" t="s">
        <v>121</v>
      </c>
    </row>
    <row r="43" spans="1:4" ht="57.75" thickBot="1" x14ac:dyDescent="0.25">
      <c r="A43" s="102" t="s">
        <v>122</v>
      </c>
      <c r="B43" s="103" t="s">
        <v>123</v>
      </c>
      <c r="C43" s="103" t="s">
        <v>124</v>
      </c>
      <c r="D43" s="103" t="s">
        <v>125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zoomScaleNormal="100" workbookViewId="0">
      <selection activeCell="E63" sqref="E63"/>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310</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3" spans="1:27" ht="15" x14ac:dyDescent="0.25">
      <c r="A3" s="193" t="s">
        <v>369</v>
      </c>
      <c r="B3" s="193"/>
      <c r="C3" s="193"/>
      <c r="D3" s="193"/>
      <c r="F3" s="323" t="s">
        <v>370</v>
      </c>
      <c r="G3" s="323"/>
      <c r="H3" s="323"/>
    </row>
    <row r="4" spans="1:27" ht="28.5" x14ac:dyDescent="0.2">
      <c r="A4" s="191" t="s">
        <v>227</v>
      </c>
      <c r="B4" s="191" t="s">
        <v>228</v>
      </c>
      <c r="C4" s="192" t="s">
        <v>229</v>
      </c>
      <c r="D4" s="1"/>
      <c r="F4" s="191" t="s">
        <v>230</v>
      </c>
      <c r="G4" s="192" t="s">
        <v>231</v>
      </c>
      <c r="H4" s="37" t="s">
        <v>232</v>
      </c>
      <c r="O4" s="1"/>
    </row>
    <row r="5" spans="1:27" ht="15" x14ac:dyDescent="0.25">
      <c r="A5" s="160">
        <v>43313</v>
      </c>
      <c r="B5">
        <v>0</v>
      </c>
      <c r="C5" s="218" t="s">
        <v>233</v>
      </c>
      <c r="D5" s="161"/>
      <c r="F5" s="1" t="s">
        <v>311</v>
      </c>
      <c r="G5" s="159">
        <v>3</v>
      </c>
      <c r="H5" s="203" t="s">
        <v>234</v>
      </c>
      <c r="O5" s="1"/>
    </row>
    <row r="6" spans="1:27" ht="15" x14ac:dyDescent="0.25">
      <c r="A6" s="160">
        <v>43344</v>
      </c>
      <c r="B6">
        <v>1</v>
      </c>
      <c r="C6" s="218" t="s">
        <v>233</v>
      </c>
      <c r="D6" s="161"/>
      <c r="G6" s="159"/>
      <c r="H6" s="203"/>
      <c r="O6" s="1"/>
    </row>
    <row r="7" spans="1:27" ht="15" x14ac:dyDescent="0.25">
      <c r="A7" s="160">
        <v>43374</v>
      </c>
      <c r="B7">
        <v>7</v>
      </c>
      <c r="C7" s="218" t="s">
        <v>233</v>
      </c>
      <c r="D7" s="161"/>
      <c r="G7" s="159"/>
      <c r="H7" s="203"/>
      <c r="O7" s="1"/>
    </row>
    <row r="8" spans="1:27" ht="15" x14ac:dyDescent="0.25">
      <c r="A8" s="160">
        <v>43405</v>
      </c>
      <c r="B8">
        <v>1</v>
      </c>
      <c r="C8" s="218" t="s">
        <v>233</v>
      </c>
      <c r="D8" s="161"/>
      <c r="G8" s="159"/>
      <c r="H8" s="203"/>
      <c r="O8" s="1"/>
    </row>
    <row r="9" spans="1:27" ht="15" x14ac:dyDescent="0.25">
      <c r="A9" s="160">
        <v>43435</v>
      </c>
      <c r="B9">
        <v>0</v>
      </c>
      <c r="C9" s="218" t="s">
        <v>233</v>
      </c>
      <c r="D9" s="161"/>
      <c r="G9" s="159"/>
      <c r="H9" s="203"/>
      <c r="O9" s="1"/>
    </row>
    <row r="10" spans="1:27" ht="15" x14ac:dyDescent="0.25">
      <c r="A10" s="160">
        <v>43466</v>
      </c>
      <c r="B10">
        <v>1</v>
      </c>
      <c r="C10" s="218" t="s">
        <v>233</v>
      </c>
      <c r="D10" s="161"/>
      <c r="G10" s="159"/>
      <c r="H10" s="203"/>
      <c r="O10" s="1"/>
    </row>
    <row r="11" spans="1:27" ht="15" x14ac:dyDescent="0.25">
      <c r="A11" s="160">
        <v>43497</v>
      </c>
      <c r="B11">
        <v>0</v>
      </c>
      <c r="C11" s="218" t="s">
        <v>233</v>
      </c>
      <c r="D11" s="161"/>
      <c r="G11" s="159"/>
      <c r="H11" s="203"/>
      <c r="O11" s="1"/>
    </row>
    <row r="12" spans="1:27" ht="15" x14ac:dyDescent="0.25">
      <c r="A12" s="160">
        <v>43525</v>
      </c>
      <c r="B12">
        <v>5</v>
      </c>
      <c r="C12" s="218" t="s">
        <v>233</v>
      </c>
      <c r="D12" s="161"/>
      <c r="G12" s="159"/>
      <c r="H12" s="203"/>
      <c r="O12" s="1"/>
    </row>
    <row r="13" spans="1:27" ht="15" x14ac:dyDescent="0.25">
      <c r="A13" s="160">
        <v>43556</v>
      </c>
      <c r="B13">
        <v>0</v>
      </c>
      <c r="C13" s="218" t="s">
        <v>233</v>
      </c>
      <c r="D13" s="161"/>
      <c r="G13" s="159"/>
      <c r="H13" s="203"/>
      <c r="O13" s="1"/>
    </row>
    <row r="14" spans="1:27" ht="15" x14ac:dyDescent="0.25">
      <c r="A14" s="160">
        <v>43586</v>
      </c>
      <c r="B14">
        <v>1</v>
      </c>
      <c r="C14" s="218" t="s">
        <v>233</v>
      </c>
      <c r="D14" s="161"/>
      <c r="G14" s="159"/>
      <c r="H14" s="203"/>
      <c r="O14" s="1"/>
    </row>
    <row r="15" spans="1:27" ht="15" x14ac:dyDescent="0.25">
      <c r="A15" s="160">
        <v>43617</v>
      </c>
      <c r="B15">
        <v>0</v>
      </c>
      <c r="C15" s="218" t="s">
        <v>233</v>
      </c>
      <c r="D15" s="161"/>
      <c r="O15" s="1"/>
    </row>
    <row r="16" spans="1:27" ht="15" x14ac:dyDescent="0.25">
      <c r="A16" s="160">
        <v>43647</v>
      </c>
      <c r="B16">
        <v>0</v>
      </c>
      <c r="C16" s="218" t="s">
        <v>233</v>
      </c>
      <c r="D16" s="161"/>
      <c r="O16" s="1"/>
    </row>
    <row r="17" spans="1:15" ht="15" x14ac:dyDescent="0.25">
      <c r="A17" s="160">
        <v>43678</v>
      </c>
      <c r="B17">
        <v>1</v>
      </c>
      <c r="C17" s="218" t="s">
        <v>233</v>
      </c>
      <c r="D17" s="161"/>
      <c r="O17" s="1"/>
    </row>
    <row r="18" spans="1:15" ht="15" x14ac:dyDescent="0.25">
      <c r="A18" s="160">
        <v>43709</v>
      </c>
      <c r="B18">
        <v>0</v>
      </c>
      <c r="C18" s="218" t="s">
        <v>233</v>
      </c>
      <c r="D18" s="161"/>
      <c r="I18" s="39"/>
      <c r="O18" s="1"/>
    </row>
    <row r="19" spans="1:15" ht="15" x14ac:dyDescent="0.25">
      <c r="A19" s="160">
        <v>43739</v>
      </c>
      <c r="B19">
        <v>1</v>
      </c>
      <c r="C19" s="218" t="s">
        <v>233</v>
      </c>
      <c r="D19" s="161"/>
      <c r="I19" s="39"/>
      <c r="O19" s="1"/>
    </row>
    <row r="20" spans="1:15" ht="15" x14ac:dyDescent="0.25">
      <c r="A20" s="160">
        <v>43770</v>
      </c>
      <c r="B20">
        <v>0</v>
      </c>
      <c r="C20" s="218" t="s">
        <v>233</v>
      </c>
      <c r="D20" s="161"/>
      <c r="I20" s="39"/>
      <c r="O20" s="1"/>
    </row>
    <row r="21" spans="1:15" ht="15" x14ac:dyDescent="0.25">
      <c r="A21" s="160">
        <v>43800</v>
      </c>
      <c r="B21">
        <v>0</v>
      </c>
      <c r="C21" s="218" t="s">
        <v>233</v>
      </c>
      <c r="D21" s="161"/>
      <c r="I21" s="39"/>
      <c r="O21" s="1"/>
    </row>
    <row r="22" spans="1:15" ht="15" x14ac:dyDescent="0.25">
      <c r="A22" s="160">
        <v>43831</v>
      </c>
      <c r="B22">
        <v>0</v>
      </c>
      <c r="C22" s="218" t="s">
        <v>233</v>
      </c>
      <c r="D22" s="161"/>
      <c r="I22" s="39"/>
      <c r="O22" s="1"/>
    </row>
    <row r="23" spans="1:15" ht="15" x14ac:dyDescent="0.25">
      <c r="A23" s="160">
        <v>43862</v>
      </c>
      <c r="B23">
        <v>0</v>
      </c>
      <c r="C23" s="218" t="s">
        <v>233</v>
      </c>
      <c r="D23" s="161"/>
      <c r="O23" s="1"/>
    </row>
    <row r="24" spans="1:15" ht="15" x14ac:dyDescent="0.25">
      <c r="A24" s="160">
        <v>43891</v>
      </c>
      <c r="B24">
        <v>0</v>
      </c>
      <c r="C24" s="218" t="s">
        <v>233</v>
      </c>
      <c r="D24" s="161"/>
      <c r="O24" s="1"/>
    </row>
    <row r="25" spans="1:15" ht="15" x14ac:dyDescent="0.25">
      <c r="A25" s="160">
        <v>43922</v>
      </c>
      <c r="B25">
        <v>0</v>
      </c>
      <c r="C25" s="218" t="s">
        <v>233</v>
      </c>
      <c r="D25" s="161"/>
      <c r="O25" s="1"/>
    </row>
    <row r="26" spans="1:15" ht="15" x14ac:dyDescent="0.25">
      <c r="A26" s="160">
        <v>43952</v>
      </c>
      <c r="B26">
        <v>0</v>
      </c>
      <c r="C26" s="218" t="s">
        <v>233</v>
      </c>
      <c r="D26" s="161"/>
      <c r="O26" s="1"/>
    </row>
    <row r="27" spans="1:15" ht="15" x14ac:dyDescent="0.25">
      <c r="A27" s="160">
        <v>43983</v>
      </c>
      <c r="B27">
        <v>0</v>
      </c>
      <c r="C27" s="218" t="s">
        <v>233</v>
      </c>
      <c r="D27" s="161"/>
      <c r="O27" s="1"/>
    </row>
    <row r="28" spans="1:15" ht="15" x14ac:dyDescent="0.25">
      <c r="A28" s="160">
        <v>44013</v>
      </c>
      <c r="B28">
        <v>0</v>
      </c>
      <c r="C28" s="218" t="s">
        <v>233</v>
      </c>
      <c r="D28" s="161"/>
      <c r="O28" s="1"/>
    </row>
    <row r="29" spans="1:15" ht="15" x14ac:dyDescent="0.25">
      <c r="A29" s="160">
        <v>44044</v>
      </c>
      <c r="B29">
        <v>0</v>
      </c>
      <c r="C29" s="218" t="s">
        <v>233</v>
      </c>
      <c r="D29" s="161"/>
      <c r="O29" s="1"/>
    </row>
    <row r="30" spans="1:15" ht="15" x14ac:dyDescent="0.25">
      <c r="A30" s="160">
        <v>44075</v>
      </c>
      <c r="B30">
        <v>2</v>
      </c>
      <c r="C30" s="218" t="s">
        <v>233</v>
      </c>
      <c r="D30" s="161"/>
      <c r="O30" s="1"/>
    </row>
    <row r="31" spans="1:15" ht="15" x14ac:dyDescent="0.25">
      <c r="A31" s="160">
        <v>44105</v>
      </c>
      <c r="B31">
        <v>0</v>
      </c>
      <c r="C31" s="218" t="s">
        <v>233</v>
      </c>
      <c r="D31" s="161"/>
      <c r="O31" s="1"/>
    </row>
    <row r="32" spans="1:15" ht="15" x14ac:dyDescent="0.25">
      <c r="A32" s="160">
        <v>44136</v>
      </c>
      <c r="B32">
        <v>0</v>
      </c>
      <c r="C32" s="218" t="s">
        <v>233</v>
      </c>
      <c r="D32" s="161"/>
      <c r="O32" s="1"/>
    </row>
    <row r="33" spans="1:15" ht="15" x14ac:dyDescent="0.25">
      <c r="A33" s="160">
        <v>44166</v>
      </c>
      <c r="B33">
        <v>0</v>
      </c>
      <c r="C33" s="218" t="s">
        <v>233</v>
      </c>
      <c r="D33" s="161"/>
      <c r="O33" s="1"/>
    </row>
    <row r="34" spans="1:15" ht="15" x14ac:dyDescent="0.25">
      <c r="A34" s="160">
        <v>44197</v>
      </c>
      <c r="B34">
        <v>0</v>
      </c>
      <c r="C34" s="218" t="s">
        <v>233</v>
      </c>
      <c r="D34" s="161"/>
      <c r="O34" s="1"/>
    </row>
    <row r="35" spans="1:15" ht="15" x14ac:dyDescent="0.25">
      <c r="A35" s="160">
        <v>44228</v>
      </c>
      <c r="B35">
        <v>0</v>
      </c>
      <c r="C35" s="218" t="s">
        <v>233</v>
      </c>
      <c r="D35" s="161"/>
      <c r="O35" s="1"/>
    </row>
    <row r="36" spans="1:15" ht="15" x14ac:dyDescent="0.25">
      <c r="A36" s="160">
        <v>44256</v>
      </c>
      <c r="B36">
        <v>1</v>
      </c>
      <c r="C36" s="218" t="s">
        <v>233</v>
      </c>
      <c r="D36" s="161"/>
      <c r="O36" s="1"/>
    </row>
    <row r="37" spans="1:15" ht="15" x14ac:dyDescent="0.25">
      <c r="A37" s="160">
        <v>44287</v>
      </c>
      <c r="B37">
        <v>0</v>
      </c>
      <c r="C37" s="218" t="s">
        <v>233</v>
      </c>
      <c r="D37" s="161"/>
      <c r="O37" s="1"/>
    </row>
    <row r="38" spans="1:15" ht="15" x14ac:dyDescent="0.25">
      <c r="A38" s="160">
        <v>44317</v>
      </c>
      <c r="B38">
        <v>0</v>
      </c>
      <c r="C38" s="218" t="s">
        <v>233</v>
      </c>
      <c r="D38" s="161"/>
      <c r="O38" s="1"/>
    </row>
    <row r="39" spans="1:15" ht="15" x14ac:dyDescent="0.25">
      <c r="A39" s="160">
        <v>44348</v>
      </c>
      <c r="B39">
        <v>0</v>
      </c>
      <c r="C39" s="218" t="s">
        <v>233</v>
      </c>
      <c r="D39" s="161"/>
      <c r="O39" s="1"/>
    </row>
    <row r="40" spans="1:15" ht="15" x14ac:dyDescent="0.25">
      <c r="A40" s="160">
        <v>44378</v>
      </c>
      <c r="B40">
        <v>1</v>
      </c>
      <c r="C40" s="218" t="s">
        <v>233</v>
      </c>
      <c r="D40" s="161"/>
      <c r="O40" s="1"/>
    </row>
    <row r="41" spans="1:15" ht="15" x14ac:dyDescent="0.25">
      <c r="A41" s="160">
        <v>44409</v>
      </c>
      <c r="B41">
        <v>5</v>
      </c>
      <c r="C41" s="218" t="s">
        <v>233</v>
      </c>
      <c r="D41" s="161"/>
      <c r="O41" s="1"/>
    </row>
    <row r="42" spans="1:15" ht="15" x14ac:dyDescent="0.25">
      <c r="A42" s="160">
        <v>44440</v>
      </c>
      <c r="B42">
        <v>4</v>
      </c>
      <c r="C42" s="218" t="s">
        <v>233</v>
      </c>
      <c r="D42" s="161"/>
      <c r="O42" s="1"/>
    </row>
    <row r="43" spans="1:15" ht="15" x14ac:dyDescent="0.25">
      <c r="A43" s="160">
        <v>44470</v>
      </c>
      <c r="B43">
        <v>2</v>
      </c>
      <c r="C43" s="218" t="s">
        <v>233</v>
      </c>
      <c r="D43" s="161"/>
      <c r="O43" s="1"/>
    </row>
    <row r="44" spans="1:15" ht="15" x14ac:dyDescent="0.25">
      <c r="A44" s="160">
        <v>44501</v>
      </c>
      <c r="B44">
        <v>0</v>
      </c>
      <c r="C44" s="218" t="s">
        <v>233</v>
      </c>
      <c r="D44" s="161"/>
      <c r="O44" s="1"/>
    </row>
    <row r="45" spans="1:15" ht="15" x14ac:dyDescent="0.25">
      <c r="A45" s="160">
        <v>44531</v>
      </c>
      <c r="B45">
        <v>2</v>
      </c>
      <c r="C45" s="218" t="s">
        <v>233</v>
      </c>
      <c r="D45" s="161"/>
      <c r="O45" s="1"/>
    </row>
    <row r="46" spans="1:15" ht="15" x14ac:dyDescent="0.25">
      <c r="A46" s="160">
        <v>44562</v>
      </c>
      <c r="B46">
        <v>0</v>
      </c>
      <c r="C46" s="218" t="s">
        <v>233</v>
      </c>
      <c r="D46" s="161"/>
      <c r="O46" s="1"/>
    </row>
    <row r="47" spans="1:15" ht="15" x14ac:dyDescent="0.25">
      <c r="A47" s="160">
        <v>44593</v>
      </c>
      <c r="B47">
        <v>0</v>
      </c>
      <c r="C47" s="218" t="s">
        <v>233</v>
      </c>
      <c r="D47" s="161"/>
      <c r="O47" s="1"/>
    </row>
    <row r="48" spans="1:15" ht="15" x14ac:dyDescent="0.25">
      <c r="A48" s="160">
        <v>44621</v>
      </c>
      <c r="B48">
        <v>0</v>
      </c>
      <c r="C48" s="218" t="s">
        <v>233</v>
      </c>
      <c r="D48" s="161"/>
      <c r="O48" s="1"/>
    </row>
    <row r="49" spans="1:15" ht="15" x14ac:dyDescent="0.25">
      <c r="A49" s="160">
        <v>44652</v>
      </c>
      <c r="B49">
        <v>0</v>
      </c>
      <c r="C49" s="218" t="s">
        <v>233</v>
      </c>
      <c r="D49" s="161"/>
      <c r="O49" s="1"/>
    </row>
    <row r="50" spans="1:15" ht="15" x14ac:dyDescent="0.25">
      <c r="A50" s="160">
        <v>44682</v>
      </c>
      <c r="B50">
        <v>0</v>
      </c>
      <c r="C50" s="218" t="s">
        <v>233</v>
      </c>
      <c r="D50" s="161"/>
      <c r="O50" s="1"/>
    </row>
    <row r="51" spans="1:15" ht="15" x14ac:dyDescent="0.25">
      <c r="A51" s="160">
        <v>44713</v>
      </c>
      <c r="B51">
        <v>0</v>
      </c>
      <c r="C51" s="218" t="s">
        <v>233</v>
      </c>
      <c r="D51" s="161"/>
      <c r="O51" s="1"/>
    </row>
    <row r="52" spans="1:15" ht="15" x14ac:dyDescent="0.25">
      <c r="A52" s="160">
        <v>44743</v>
      </c>
      <c r="B52">
        <v>0</v>
      </c>
      <c r="C52" s="218" t="s">
        <v>233</v>
      </c>
      <c r="D52" s="161"/>
      <c r="O52" s="1"/>
    </row>
    <row r="53" spans="1:15" ht="15" x14ac:dyDescent="0.25">
      <c r="A53" s="160">
        <v>44774</v>
      </c>
      <c r="B53">
        <v>0</v>
      </c>
      <c r="C53" s="218" t="s">
        <v>233</v>
      </c>
      <c r="D53" s="161"/>
      <c r="O53" s="1"/>
    </row>
    <row r="54" spans="1:15" ht="15" x14ac:dyDescent="0.25">
      <c r="A54" s="160">
        <v>44805</v>
      </c>
      <c r="B54">
        <v>3</v>
      </c>
      <c r="C54" s="218" t="s">
        <v>233</v>
      </c>
      <c r="D54" s="161"/>
      <c r="O54" s="1"/>
    </row>
    <row r="55" spans="1:15" ht="15" x14ac:dyDescent="0.25">
      <c r="A55" s="160">
        <v>44835</v>
      </c>
      <c r="B55">
        <v>0</v>
      </c>
      <c r="C55" s="218" t="s">
        <v>233</v>
      </c>
      <c r="D55" s="161"/>
      <c r="O55" s="1"/>
    </row>
    <row r="56" spans="1:15" ht="15" x14ac:dyDescent="0.25">
      <c r="A56" s="160">
        <v>44866</v>
      </c>
      <c r="B56">
        <v>1</v>
      </c>
      <c r="C56" s="218" t="s">
        <v>233</v>
      </c>
      <c r="D56" s="161"/>
      <c r="O56" s="1"/>
    </row>
    <row r="57" spans="1:15" ht="15" x14ac:dyDescent="0.25">
      <c r="A57" s="160">
        <v>44896</v>
      </c>
      <c r="B57">
        <v>0</v>
      </c>
      <c r="C57" s="218" t="s">
        <v>233</v>
      </c>
      <c r="D57" s="161"/>
      <c r="O57" s="1"/>
    </row>
    <row r="58" spans="1:15" ht="15" x14ac:dyDescent="0.25">
      <c r="A58" s="160">
        <v>44927</v>
      </c>
      <c r="B58">
        <v>0</v>
      </c>
      <c r="C58" s="218" t="s">
        <v>233</v>
      </c>
      <c r="D58" s="161"/>
      <c r="O58" s="1"/>
    </row>
    <row r="59" spans="1:15" ht="15" x14ac:dyDescent="0.25">
      <c r="A59" s="160">
        <v>44958</v>
      </c>
      <c r="B59">
        <v>0</v>
      </c>
      <c r="C59" s="218" t="s">
        <v>233</v>
      </c>
      <c r="D59" s="161"/>
      <c r="O59" s="1"/>
    </row>
    <row r="60" spans="1:15" ht="15" x14ac:dyDescent="0.25">
      <c r="A60" s="160">
        <v>44986</v>
      </c>
      <c r="B60">
        <v>1</v>
      </c>
      <c r="C60" s="218" t="s">
        <v>233</v>
      </c>
      <c r="D60" s="161"/>
      <c r="O60" s="1"/>
    </row>
    <row r="61" spans="1:15" ht="15" x14ac:dyDescent="0.25">
      <c r="A61" s="160">
        <v>45017</v>
      </c>
      <c r="B61">
        <v>1</v>
      </c>
      <c r="C61" s="218" t="s">
        <v>233</v>
      </c>
      <c r="D61" s="161"/>
      <c r="O61" s="1"/>
    </row>
    <row r="62" spans="1:15" ht="15" x14ac:dyDescent="0.25">
      <c r="A62" s="160">
        <v>45047</v>
      </c>
      <c r="B62">
        <v>0</v>
      </c>
      <c r="C62" s="218" t="s">
        <v>233</v>
      </c>
      <c r="D62" s="161"/>
      <c r="O62" s="1"/>
    </row>
    <row r="63" spans="1:15" ht="15" x14ac:dyDescent="0.25">
      <c r="A63" s="160">
        <v>45078</v>
      </c>
      <c r="B63">
        <v>0</v>
      </c>
      <c r="C63" s="218" t="s">
        <v>233</v>
      </c>
      <c r="D63" s="1"/>
      <c r="O63" s="1"/>
    </row>
    <row r="64" spans="1:15" ht="15" x14ac:dyDescent="0.25">
      <c r="A64" s="160">
        <v>45108</v>
      </c>
      <c r="B64">
        <v>0</v>
      </c>
      <c r="C64" s="218" t="s">
        <v>233</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1"/>
  <sheetViews>
    <sheetView zoomScaleNormal="100" workbookViewId="0">
      <selection activeCell="Q13" sqref="Q13"/>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42" t="s">
        <v>312</v>
      </c>
      <c r="B1" s="242"/>
      <c r="C1" s="242"/>
      <c r="D1" s="242"/>
      <c r="E1" s="242"/>
      <c r="F1" s="242"/>
      <c r="G1" s="242"/>
      <c r="H1" s="242"/>
      <c r="I1" s="242"/>
      <c r="J1" s="242"/>
      <c r="K1" s="242"/>
      <c r="L1" s="242"/>
      <c r="M1" s="242"/>
      <c r="N1" s="242"/>
      <c r="O1" s="242"/>
      <c r="P1" s="242"/>
      <c r="Q1" s="242"/>
      <c r="R1" s="242"/>
      <c r="S1" s="242"/>
      <c r="T1" s="242"/>
      <c r="U1" s="242"/>
      <c r="V1" s="242"/>
      <c r="W1" s="242"/>
      <c r="X1" s="242"/>
      <c r="Y1" s="242"/>
    </row>
  </sheetData>
  <mergeCells count="1">
    <mergeCell ref="A1:Y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zoomScaleNormal="100" workbookViewId="0">
      <selection activeCell="AG58" sqref="AG58"/>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42" t="s">
        <v>126</v>
      </c>
      <c r="B1" s="242"/>
      <c r="C1" s="242"/>
      <c r="D1" s="242"/>
      <c r="E1" s="242"/>
      <c r="F1" s="242"/>
      <c r="G1" s="242"/>
      <c r="H1" s="242"/>
      <c r="I1" s="242"/>
      <c r="J1" s="242"/>
      <c r="K1" s="242"/>
      <c r="L1" s="242"/>
      <c r="M1" s="242"/>
      <c r="N1" s="242"/>
      <c r="O1" s="242"/>
      <c r="P1" s="242"/>
      <c r="Q1" s="242"/>
      <c r="R1" s="242"/>
    </row>
    <row r="2" spans="1:28" ht="15" thickBot="1" x14ac:dyDescent="0.25">
      <c r="B2" s="38"/>
      <c r="C2" s="38"/>
      <c r="P2" s="1"/>
      <c r="Q2" s="40"/>
    </row>
    <row r="3" spans="1:28" ht="12.75" customHeight="1" thickBot="1" x14ac:dyDescent="0.25">
      <c r="A3" s="306" t="s">
        <v>28</v>
      </c>
      <c r="B3" s="262" t="s">
        <v>29</v>
      </c>
      <c r="C3" s="263"/>
      <c r="D3" s="301" t="s">
        <v>30</v>
      </c>
      <c r="E3" s="302"/>
      <c r="F3" s="212" t="s">
        <v>32</v>
      </c>
      <c r="G3" s="211" t="s">
        <v>32</v>
      </c>
      <c r="H3" s="211" t="s">
        <v>32</v>
      </c>
      <c r="I3" s="279" t="s">
        <v>32</v>
      </c>
      <c r="J3" s="279"/>
      <c r="K3" s="279" t="s">
        <v>33</v>
      </c>
      <c r="L3" s="279"/>
      <c r="M3" s="211" t="s">
        <v>34</v>
      </c>
      <c r="N3" s="211" t="s">
        <v>34</v>
      </c>
      <c r="O3" s="213" t="s">
        <v>34</v>
      </c>
      <c r="P3" s="1"/>
      <c r="Q3" s="40"/>
      <c r="W3" s="310" t="s">
        <v>51</v>
      </c>
      <c r="X3" s="310"/>
      <c r="Y3" s="310"/>
      <c r="Z3" s="310"/>
      <c r="AA3" s="310"/>
      <c r="AB3" s="310"/>
    </row>
    <row r="4" spans="1:28" ht="14.45" customHeight="1" thickBot="1" x14ac:dyDescent="0.3">
      <c r="A4" s="307"/>
      <c r="B4" s="264" t="s">
        <v>36</v>
      </c>
      <c r="C4" s="266" t="s">
        <v>37</v>
      </c>
      <c r="D4" s="313" t="s">
        <v>36</v>
      </c>
      <c r="E4" s="315" t="s">
        <v>37</v>
      </c>
      <c r="F4" s="290" t="s">
        <v>38</v>
      </c>
      <c r="G4" s="288" t="s">
        <v>39</v>
      </c>
      <c r="H4" s="288" t="s">
        <v>40</v>
      </c>
      <c r="I4" s="280" t="s">
        <v>127</v>
      </c>
      <c r="J4" s="281"/>
      <c r="K4" s="280" t="s">
        <v>42</v>
      </c>
      <c r="L4" s="281"/>
      <c r="M4" s="292" t="s">
        <v>43</v>
      </c>
      <c r="N4" s="292" t="s">
        <v>44</v>
      </c>
      <c r="O4" s="283" t="s">
        <v>45</v>
      </c>
      <c r="P4" s="1"/>
      <c r="Q4" s="40"/>
      <c r="U4" s="1" t="s">
        <v>128</v>
      </c>
      <c r="V4" s="44" t="s">
        <v>129</v>
      </c>
      <c r="W4" s="44" t="s">
        <v>47</v>
      </c>
      <c r="X4" s="44" t="s">
        <v>49</v>
      </c>
      <c r="Y4" s="44" t="s">
        <v>130</v>
      </c>
      <c r="Z4" s="44" t="s">
        <v>131</v>
      </c>
      <c r="AA4" s="44" t="s">
        <v>132</v>
      </c>
    </row>
    <row r="5" spans="1:28" ht="27" customHeight="1" thickBot="1" x14ac:dyDescent="0.25">
      <c r="A5" s="308"/>
      <c r="B5" s="309"/>
      <c r="C5" s="312"/>
      <c r="D5" s="314"/>
      <c r="E5" s="316"/>
      <c r="F5" s="291"/>
      <c r="G5" s="289"/>
      <c r="H5" s="289"/>
      <c r="I5" s="45" t="s">
        <v>47</v>
      </c>
      <c r="J5" s="45" t="s">
        <v>48</v>
      </c>
      <c r="K5" s="207" t="s">
        <v>49</v>
      </c>
      <c r="L5" s="207" t="s">
        <v>50</v>
      </c>
      <c r="M5" s="293"/>
      <c r="N5" s="293"/>
      <c r="O5" s="284"/>
      <c r="P5" s="1"/>
      <c r="Q5" s="40"/>
      <c r="U5" s="1">
        <v>0</v>
      </c>
      <c r="V5" s="46">
        <f>H6</f>
        <v>21.877443593994144</v>
      </c>
      <c r="W5" s="46">
        <f>I6</f>
        <v>27.380833333333339</v>
      </c>
      <c r="X5" s="46">
        <f>K6</f>
        <v>30.118916666666674</v>
      </c>
      <c r="Y5" s="46">
        <f>M6</f>
        <v>33.130808333333341</v>
      </c>
      <c r="Z5" s="46">
        <f>N6</f>
        <v>36.443889166666679</v>
      </c>
      <c r="AA5" s="46">
        <f>O6</f>
        <v>40.08827808333335</v>
      </c>
    </row>
    <row r="6" spans="1:28" x14ac:dyDescent="0.2">
      <c r="A6" s="47" t="s">
        <v>51</v>
      </c>
      <c r="B6" s="48">
        <f>'1A'!B11</f>
        <v>15.19</v>
      </c>
      <c r="C6" s="49">
        <f>'1A'!C11</f>
        <v>31595.200000000001</v>
      </c>
      <c r="D6" s="50">
        <f>'1A'!D11</f>
        <v>27.380833333333339</v>
      </c>
      <c r="E6" s="141">
        <f>'1A'!E11</f>
        <v>56952.133333333346</v>
      </c>
      <c r="F6" s="51">
        <f>'1A'!F11</f>
        <v>21.877443593994144</v>
      </c>
      <c r="G6" s="52">
        <f>'1A'!G11</f>
        <v>21.877443593994144</v>
      </c>
      <c r="H6" s="52">
        <f>'1A'!H11</f>
        <v>21.877443593994144</v>
      </c>
      <c r="I6" s="53">
        <f>'1A'!I11</f>
        <v>27.380833333333339</v>
      </c>
      <c r="J6" s="54">
        <f>'1A'!J11</f>
        <v>28.749875000000007</v>
      </c>
      <c r="K6" s="53">
        <f>'1A'!K11</f>
        <v>30.118916666666674</v>
      </c>
      <c r="L6" s="53">
        <f>'1A'!L11</f>
        <v>31.62486250000001</v>
      </c>
      <c r="M6" s="53">
        <f>'1A'!M11</f>
        <v>33.130808333333341</v>
      </c>
      <c r="N6" s="53">
        <f>'1A'!N11</f>
        <v>36.443889166666679</v>
      </c>
      <c r="O6" s="53">
        <f>'1A'!O11</f>
        <v>40.08827808333335</v>
      </c>
      <c r="P6" s="46"/>
      <c r="Q6" s="158"/>
      <c r="U6" s="1">
        <v>1</v>
      </c>
      <c r="V6" s="46">
        <f t="shared" ref="V6:V25" si="0">V5*1.025</f>
        <v>22.424379683843995</v>
      </c>
      <c r="W6" s="46">
        <f t="shared" ref="W6:W25" si="1">W5*1.025</f>
        <v>28.065354166666669</v>
      </c>
      <c r="X6" s="46">
        <f t="shared" ref="X6:X25" si="2">X5*1.025</f>
        <v>30.871889583333338</v>
      </c>
      <c r="Y6" s="46">
        <f t="shared" ref="Y6:Y25" si="3">Y5*1.025</f>
        <v>33.959078541666671</v>
      </c>
      <c r="Z6" s="46">
        <f t="shared" ref="Z6:Z25" si="4">Z5*1.025</f>
        <v>37.354986395833343</v>
      </c>
      <c r="AA6" s="46">
        <f t="shared" ref="AA6:AA25" si="5">AA5*1.025</f>
        <v>41.090485035416677</v>
      </c>
    </row>
    <row r="7" spans="1:28" x14ac:dyDescent="0.2">
      <c r="A7" s="285" t="s">
        <v>133</v>
      </c>
      <c r="B7" s="286"/>
      <c r="C7" s="286"/>
      <c r="D7" s="286"/>
      <c r="E7" s="286"/>
      <c r="F7" s="286"/>
      <c r="G7" s="286"/>
      <c r="H7" s="287"/>
      <c r="I7" s="55">
        <f>I6-H6</f>
        <v>5.5033897393391946</v>
      </c>
      <c r="J7" s="55">
        <f t="shared" ref="J7:O7" si="6">J6-I6</f>
        <v>1.3690416666666678</v>
      </c>
      <c r="K7" s="55">
        <f t="shared" si="6"/>
        <v>1.3690416666666678</v>
      </c>
      <c r="L7" s="55">
        <f>L6-K6</f>
        <v>1.5059458333333353</v>
      </c>
      <c r="M7" s="55">
        <f t="shared" si="6"/>
        <v>1.5059458333333318</v>
      </c>
      <c r="N7" s="55">
        <f t="shared" si="6"/>
        <v>3.3130808333333377</v>
      </c>
      <c r="O7" s="55">
        <f t="shared" si="6"/>
        <v>3.6443889166666708</v>
      </c>
      <c r="P7" s="1"/>
      <c r="U7" s="1">
        <v>2</v>
      </c>
      <c r="V7" s="46">
        <f t="shared" si="0"/>
        <v>22.984989175940093</v>
      </c>
      <c r="W7" s="46">
        <f t="shared" si="1"/>
        <v>28.766988020833335</v>
      </c>
      <c r="X7" s="46">
        <f t="shared" si="2"/>
        <v>31.643686822916671</v>
      </c>
      <c r="Y7" s="46">
        <f t="shared" si="3"/>
        <v>34.808055505208337</v>
      </c>
      <c r="Z7" s="46">
        <f t="shared" si="4"/>
        <v>38.288861055729171</v>
      </c>
      <c r="AA7" s="46">
        <f t="shared" si="5"/>
        <v>42.117747161302091</v>
      </c>
    </row>
    <row r="8" spans="1:28" x14ac:dyDescent="0.2">
      <c r="A8" s="56" t="s">
        <v>60</v>
      </c>
      <c r="B8" s="57">
        <f>'1A'!B19</f>
        <v>15.19</v>
      </c>
      <c r="C8" s="58">
        <f>'1A'!C19</f>
        <v>31595.200000000001</v>
      </c>
      <c r="D8" s="57">
        <f>'1A'!D19</f>
        <v>24.891666666666669</v>
      </c>
      <c r="E8" s="58">
        <f>'1A'!E19</f>
        <v>51774.666666666672</v>
      </c>
      <c r="F8" s="59">
        <f>'1A'!F19</f>
        <v>19.888585085449218</v>
      </c>
      <c r="G8" s="60">
        <f>'1A'!G19</f>
        <v>19.888585085449218</v>
      </c>
      <c r="H8" s="60">
        <f>'1A'!H19</f>
        <v>19.888585085449218</v>
      </c>
      <c r="I8" s="61">
        <f>'1A'!I19</f>
        <v>24.891666666666669</v>
      </c>
      <c r="J8" s="61">
        <f>'1A'!J19</f>
        <v>26.136250000000004</v>
      </c>
      <c r="K8" s="61">
        <f>'1A'!K19</f>
        <v>27.380833333333339</v>
      </c>
      <c r="L8" s="61">
        <f>'1A'!L19</f>
        <v>28.749875000000007</v>
      </c>
      <c r="M8" s="61">
        <f>'1A'!M19</f>
        <v>30.118916666666674</v>
      </c>
      <c r="N8" s="61">
        <f>'1A'!N19</f>
        <v>33.130808333333341</v>
      </c>
      <c r="O8" s="62">
        <f>'1A'!O19</f>
        <v>36.443889166666679</v>
      </c>
      <c r="P8" s="1"/>
      <c r="U8" s="1">
        <v>3</v>
      </c>
      <c r="V8" s="46">
        <f t="shared" si="0"/>
        <v>23.559613905338594</v>
      </c>
      <c r="W8" s="46">
        <f t="shared" si="1"/>
        <v>29.486162721354166</v>
      </c>
      <c r="X8" s="46">
        <f t="shared" si="2"/>
        <v>32.434778993489587</v>
      </c>
      <c r="Y8" s="46">
        <f t="shared" si="3"/>
        <v>35.67825689283854</v>
      </c>
      <c r="Z8" s="46">
        <f t="shared" si="4"/>
        <v>39.246082582122398</v>
      </c>
      <c r="AA8" s="46">
        <f t="shared" si="5"/>
        <v>43.170690840334643</v>
      </c>
    </row>
    <row r="9" spans="1:28" x14ac:dyDescent="0.2">
      <c r="A9" s="285" t="s">
        <v>133</v>
      </c>
      <c r="B9" s="286"/>
      <c r="C9" s="286"/>
      <c r="D9" s="286"/>
      <c r="E9" s="286"/>
      <c r="F9" s="286"/>
      <c r="G9" s="286"/>
      <c r="H9" s="287"/>
      <c r="I9" s="55">
        <f>I8-H8</f>
        <v>5.0030815812174509</v>
      </c>
      <c r="J9" s="55">
        <f t="shared" ref="J9:O9" si="7">J8-I8</f>
        <v>1.2445833333333347</v>
      </c>
      <c r="K9" s="55">
        <f t="shared" si="7"/>
        <v>1.2445833333333347</v>
      </c>
      <c r="L9" s="55">
        <f>L8-K8</f>
        <v>1.3690416666666678</v>
      </c>
      <c r="M9" s="55">
        <f>M8-L8</f>
        <v>1.3690416666666678</v>
      </c>
      <c r="N9" s="55">
        <f t="shared" si="7"/>
        <v>3.0118916666666671</v>
      </c>
      <c r="O9" s="55">
        <f t="shared" si="7"/>
        <v>3.3130808333333377</v>
      </c>
      <c r="P9" s="1"/>
      <c r="U9" s="1">
        <v>4</v>
      </c>
      <c r="V9" s="46">
        <f t="shared" si="0"/>
        <v>24.148604252972056</v>
      </c>
      <c r="W9" s="46">
        <f t="shared" si="1"/>
        <v>30.223316789388019</v>
      </c>
      <c r="X9" s="46">
        <f t="shared" si="2"/>
        <v>33.245648468326827</v>
      </c>
      <c r="Y9" s="46">
        <f t="shared" si="3"/>
        <v>36.570213315159499</v>
      </c>
      <c r="Z9" s="46">
        <f t="shared" si="4"/>
        <v>40.227234646675456</v>
      </c>
      <c r="AA9" s="46">
        <f t="shared" si="5"/>
        <v>44.249958111343005</v>
      </c>
    </row>
    <row r="10" spans="1:28" x14ac:dyDescent="0.2">
      <c r="P10" s="1"/>
      <c r="Q10" s="40"/>
      <c r="U10" s="1">
        <v>5</v>
      </c>
      <c r="V10" s="46">
        <f t="shared" si="0"/>
        <v>24.752319359296354</v>
      </c>
      <c r="W10" s="46">
        <f t="shared" si="1"/>
        <v>30.978899709122718</v>
      </c>
      <c r="X10" s="46">
        <f t="shared" si="2"/>
        <v>34.076789680034992</v>
      </c>
      <c r="Y10" s="46">
        <f t="shared" si="3"/>
        <v>37.484468648038487</v>
      </c>
      <c r="Z10" s="46">
        <f t="shared" si="4"/>
        <v>41.232915512842339</v>
      </c>
      <c r="AA10" s="46">
        <f t="shared" si="5"/>
        <v>45.356207064126579</v>
      </c>
    </row>
    <row r="11" spans="1:28" x14ac:dyDescent="0.2">
      <c r="P11" s="1"/>
      <c r="Q11" s="40"/>
      <c r="U11" s="1">
        <v>6</v>
      </c>
      <c r="V11" s="46">
        <f t="shared" si="0"/>
        <v>25.371127343278761</v>
      </c>
      <c r="W11" s="46">
        <f t="shared" si="1"/>
        <v>31.753372201850784</v>
      </c>
      <c r="X11" s="46">
        <f t="shared" si="2"/>
        <v>34.928709422035865</v>
      </c>
      <c r="Y11" s="46">
        <f t="shared" si="3"/>
        <v>38.421580364239446</v>
      </c>
      <c r="Z11" s="46">
        <f t="shared" si="4"/>
        <v>42.263738400663392</v>
      </c>
      <c r="AA11" s="46">
        <f t="shared" si="5"/>
        <v>46.490112240729736</v>
      </c>
    </row>
    <row r="12" spans="1:28" x14ac:dyDescent="0.2">
      <c r="P12" s="1"/>
      <c r="Q12" s="40"/>
      <c r="U12" s="1">
        <v>7</v>
      </c>
      <c r="V12" s="46">
        <f t="shared" si="0"/>
        <v>26.005405526860727</v>
      </c>
      <c r="W12" s="46">
        <f t="shared" si="1"/>
        <v>32.547206506897048</v>
      </c>
      <c r="X12" s="46">
        <f t="shared" si="2"/>
        <v>35.801927157586761</v>
      </c>
      <c r="Y12" s="46">
        <f t="shared" si="3"/>
        <v>39.382119873345431</v>
      </c>
      <c r="Z12" s="46">
        <f t="shared" si="4"/>
        <v>43.320331860679971</v>
      </c>
      <c r="AA12" s="46">
        <f t="shared" si="5"/>
        <v>47.652365046747974</v>
      </c>
    </row>
    <row r="13" spans="1:28" x14ac:dyDescent="0.2">
      <c r="P13" s="1"/>
      <c r="Q13" s="40"/>
      <c r="U13" s="1">
        <v>8</v>
      </c>
      <c r="V13" s="46">
        <f t="shared" si="0"/>
        <v>26.655540665032245</v>
      </c>
      <c r="W13" s="46">
        <f t="shared" si="1"/>
        <v>33.360886669569474</v>
      </c>
      <c r="X13" s="46">
        <f t="shared" si="2"/>
        <v>36.696975336526428</v>
      </c>
      <c r="Y13" s="46">
        <f t="shared" si="3"/>
        <v>40.366672870179066</v>
      </c>
      <c r="Z13" s="46">
        <f t="shared" si="4"/>
        <v>44.403340157196965</v>
      </c>
      <c r="AA13" s="46">
        <f t="shared" si="5"/>
        <v>48.843674172916671</v>
      </c>
    </row>
    <row r="14" spans="1:28" ht="16.5" thickBot="1" x14ac:dyDescent="0.3">
      <c r="A14" s="28" t="s">
        <v>134</v>
      </c>
      <c r="B14" s="28"/>
      <c r="C14" s="28"/>
      <c r="D14" s="28"/>
      <c r="E14" s="28"/>
      <c r="F14" s="28"/>
      <c r="G14" s="28"/>
      <c r="H14" s="28"/>
      <c r="I14" s="28"/>
      <c r="J14" s="28"/>
      <c r="K14" s="28"/>
      <c r="L14" s="28"/>
      <c r="M14" s="28"/>
      <c r="N14" s="28"/>
      <c r="O14" s="28"/>
      <c r="P14" s="28"/>
      <c r="Q14" s="28"/>
      <c r="R14" s="28"/>
      <c r="S14" s="28"/>
      <c r="T14" s="28"/>
      <c r="U14" s="1">
        <v>9</v>
      </c>
      <c r="V14" s="46">
        <f t="shared" si="0"/>
        <v>27.321929181658049</v>
      </c>
      <c r="W14" s="46">
        <f t="shared" si="1"/>
        <v>34.194908836308706</v>
      </c>
      <c r="X14" s="46">
        <f t="shared" si="2"/>
        <v>37.614399719939584</v>
      </c>
      <c r="Y14" s="46">
        <f t="shared" si="3"/>
        <v>41.375839691933542</v>
      </c>
      <c r="Z14" s="46">
        <f t="shared" si="4"/>
        <v>45.513423661126886</v>
      </c>
      <c r="AA14" s="46">
        <f t="shared" si="5"/>
        <v>50.064766027239585</v>
      </c>
    </row>
    <row r="15" spans="1:28" ht="15.75" thickBot="1" x14ac:dyDescent="0.3">
      <c r="A15" s="298" t="s">
        <v>135</v>
      </c>
      <c r="B15" s="303" t="s">
        <v>32</v>
      </c>
      <c r="C15" s="282"/>
      <c r="D15" s="282"/>
      <c r="E15" s="282" t="s">
        <v>32</v>
      </c>
      <c r="F15" s="282"/>
      <c r="G15" s="282"/>
      <c r="H15" s="282" t="s">
        <v>33</v>
      </c>
      <c r="I15" s="282"/>
      <c r="J15" s="282"/>
      <c r="K15" s="282" t="s">
        <v>34</v>
      </c>
      <c r="L15" s="282"/>
      <c r="M15" s="282"/>
      <c r="N15" s="282" t="s">
        <v>34</v>
      </c>
      <c r="O15" s="282"/>
      <c r="P15" s="297"/>
      <c r="Q15" s="282" t="s">
        <v>34</v>
      </c>
      <c r="R15" s="282"/>
      <c r="S15" s="297"/>
      <c r="T15" s="63"/>
      <c r="U15" s="1">
        <v>10</v>
      </c>
      <c r="V15" s="46">
        <f t="shared" si="0"/>
        <v>28.004977411199498</v>
      </c>
      <c r="W15" s="46">
        <f t="shared" si="1"/>
        <v>35.04978155721642</v>
      </c>
      <c r="X15" s="46">
        <f t="shared" si="2"/>
        <v>38.554759712938072</v>
      </c>
      <c r="Y15" s="46">
        <f t="shared" si="3"/>
        <v>42.410235684231878</v>
      </c>
      <c r="Z15" s="46">
        <f t="shared" si="4"/>
        <v>46.651259252655052</v>
      </c>
      <c r="AA15" s="46">
        <f t="shared" si="5"/>
        <v>51.316385177920573</v>
      </c>
    </row>
    <row r="16" spans="1:28" ht="15" x14ac:dyDescent="0.2">
      <c r="A16" s="299"/>
      <c r="B16" s="304" t="s">
        <v>136</v>
      </c>
      <c r="C16" s="305"/>
      <c r="D16" s="305"/>
      <c r="E16" s="276" t="s">
        <v>127</v>
      </c>
      <c r="F16" s="277"/>
      <c r="G16" s="278"/>
      <c r="H16" s="276" t="s">
        <v>42</v>
      </c>
      <c r="I16" s="277"/>
      <c r="J16" s="278"/>
      <c r="K16" s="294" t="s">
        <v>137</v>
      </c>
      <c r="L16" s="295"/>
      <c r="M16" s="296"/>
      <c r="N16" s="294" t="s">
        <v>44</v>
      </c>
      <c r="O16" s="295"/>
      <c r="P16" s="296"/>
      <c r="Q16" s="294" t="s">
        <v>138</v>
      </c>
      <c r="R16" s="295"/>
      <c r="S16" s="296"/>
      <c r="T16" s="64"/>
      <c r="U16" s="1">
        <v>11</v>
      </c>
      <c r="V16" s="46">
        <f t="shared" si="0"/>
        <v>28.705101846479483</v>
      </c>
      <c r="W16" s="46">
        <f t="shared" si="1"/>
        <v>35.926026096146828</v>
      </c>
      <c r="X16" s="46">
        <f t="shared" si="2"/>
        <v>39.518628705761522</v>
      </c>
      <c r="Y16" s="46">
        <f t="shared" si="3"/>
        <v>43.470491576337672</v>
      </c>
      <c r="Z16" s="46">
        <f t="shared" si="4"/>
        <v>47.817540733971427</v>
      </c>
      <c r="AA16" s="46">
        <f t="shared" si="5"/>
        <v>52.59929480736858</v>
      </c>
    </row>
    <row r="17" spans="1:27" ht="15" thickBot="1" x14ac:dyDescent="0.25">
      <c r="A17" s="300"/>
      <c r="B17" s="65" t="s">
        <v>139</v>
      </c>
      <c r="C17" s="66" t="s">
        <v>140</v>
      </c>
      <c r="D17" s="66" t="s">
        <v>141</v>
      </c>
      <c r="E17" s="67" t="s">
        <v>139</v>
      </c>
      <c r="F17" s="68" t="s">
        <v>140</v>
      </c>
      <c r="G17" s="69" t="s">
        <v>141</v>
      </c>
      <c r="H17" s="66" t="s">
        <v>139</v>
      </c>
      <c r="I17" s="66" t="s">
        <v>140</v>
      </c>
      <c r="J17" s="70" t="s">
        <v>141</v>
      </c>
      <c r="K17" s="65" t="s">
        <v>139</v>
      </c>
      <c r="L17" s="66" t="s">
        <v>140</v>
      </c>
      <c r="M17" s="70" t="s">
        <v>141</v>
      </c>
      <c r="N17" s="65" t="s">
        <v>139</v>
      </c>
      <c r="O17" s="66" t="s">
        <v>140</v>
      </c>
      <c r="P17" s="70" t="s">
        <v>141</v>
      </c>
      <c r="Q17" s="65" t="s">
        <v>139</v>
      </c>
      <c r="R17" s="66" t="s">
        <v>140</v>
      </c>
      <c r="S17" s="70" t="s">
        <v>141</v>
      </c>
      <c r="T17" s="71"/>
      <c r="U17" s="1">
        <v>12</v>
      </c>
      <c r="V17" s="46">
        <f t="shared" si="0"/>
        <v>29.422729392641468</v>
      </c>
      <c r="W17" s="46">
        <f t="shared" si="1"/>
        <v>36.824176748550492</v>
      </c>
      <c r="X17" s="46">
        <f t="shared" si="2"/>
        <v>40.506594423405559</v>
      </c>
      <c r="Y17" s="46">
        <f t="shared" si="3"/>
        <v>44.557253865746112</v>
      </c>
      <c r="Z17" s="46">
        <f t="shared" si="4"/>
        <v>49.012979252320712</v>
      </c>
      <c r="AA17" s="46">
        <f t="shared" si="5"/>
        <v>53.91427717755279</v>
      </c>
    </row>
    <row r="18" spans="1:27" x14ac:dyDescent="0.2">
      <c r="A18" s="72" t="s">
        <v>142</v>
      </c>
      <c r="B18" s="73">
        <f>H6</f>
        <v>21.877443593994144</v>
      </c>
      <c r="C18" s="73">
        <f>MEDIAN(B18,D18)</f>
        <v>22.718528749666369</v>
      </c>
      <c r="D18" s="73">
        <f>B18*((1.025)^3)</f>
        <v>23.559613905338598</v>
      </c>
      <c r="E18" s="74">
        <f>I6</f>
        <v>27.380833333333339</v>
      </c>
      <c r="F18" s="73">
        <f>MEDIAN(E18,G18)</f>
        <v>28.433498027343752</v>
      </c>
      <c r="G18" s="75">
        <f>E18*((1.025)^3)</f>
        <v>29.486162721354169</v>
      </c>
      <c r="H18" s="73">
        <f>K6</f>
        <v>30.118916666666674</v>
      </c>
      <c r="I18" s="73">
        <f>MEDIAN(H18,J18)</f>
        <v>31.276847830078133</v>
      </c>
      <c r="J18" s="75">
        <f>H18*((1.025)^3)</f>
        <v>32.434778993489587</v>
      </c>
      <c r="K18" s="74">
        <f>M6</f>
        <v>33.130808333333341</v>
      </c>
      <c r="L18" s="73">
        <f>MEDIAN(K18,M18)</f>
        <v>34.404532613085948</v>
      </c>
      <c r="M18" s="75">
        <f>K18*((1.025)^3)</f>
        <v>35.678256892838547</v>
      </c>
      <c r="N18" s="74">
        <f>N6</f>
        <v>36.443889166666679</v>
      </c>
      <c r="O18" s="73">
        <f>MEDIAN(N18,P18)</f>
        <v>37.844985874394538</v>
      </c>
      <c r="P18" s="75">
        <f>N18*((1.025)^3)</f>
        <v>39.246082582122405</v>
      </c>
      <c r="Q18" s="74">
        <f>O6</f>
        <v>40.08827808333335</v>
      </c>
      <c r="R18" s="73">
        <f>MEDIAN(Q18,S18)</f>
        <v>41.629484461833997</v>
      </c>
      <c r="S18" s="75">
        <f>Q18*((1.025)^3)</f>
        <v>43.17069084033465</v>
      </c>
      <c r="T18" s="73"/>
      <c r="U18" s="1">
        <v>13</v>
      </c>
      <c r="V18" s="46">
        <f t="shared" si="0"/>
        <v>30.158297627457504</v>
      </c>
      <c r="W18" s="46">
        <f t="shared" si="1"/>
        <v>37.74478116726425</v>
      </c>
      <c r="X18" s="46">
        <f t="shared" si="2"/>
        <v>41.519259283990692</v>
      </c>
      <c r="Y18" s="46">
        <f t="shared" si="3"/>
        <v>45.671185212389759</v>
      </c>
      <c r="Z18" s="46">
        <f t="shared" si="4"/>
        <v>50.238303733628726</v>
      </c>
      <c r="AA18" s="46">
        <f t="shared" si="5"/>
        <v>55.262134106991603</v>
      </c>
    </row>
    <row r="19" spans="1:27" x14ac:dyDescent="0.2">
      <c r="A19" s="76" t="s">
        <v>143</v>
      </c>
      <c r="B19" s="73">
        <f>B18*((1.025)^4)</f>
        <v>24.14860425297206</v>
      </c>
      <c r="C19" s="73">
        <f t="shared" ref="C19:C23" si="8">MEDIAN(B19,D19)</f>
        <v>24.759865798125411</v>
      </c>
      <c r="D19" s="73">
        <f>B18*((1.025)^6)</f>
        <v>25.371127343278765</v>
      </c>
      <c r="E19" s="74">
        <f>E18*((1.025)^4)</f>
        <v>30.223316789388019</v>
      </c>
      <c r="F19" s="73">
        <f t="shared" ref="F19:F23" si="9">MEDIAN(E19,G19)</f>
        <v>30.988344495619401</v>
      </c>
      <c r="G19" s="75">
        <f>E18*((1.025)^6)</f>
        <v>31.753372201850784</v>
      </c>
      <c r="H19" s="73">
        <f>H18*((1.025)^4)</f>
        <v>33.245648468326827</v>
      </c>
      <c r="I19" s="73">
        <f t="shared" ref="I19:I23" si="10">MEDIAN(H19,J19)</f>
        <v>34.08717894518135</v>
      </c>
      <c r="J19" s="75">
        <f>H18*((1.025)^6)</f>
        <v>34.928709422035865</v>
      </c>
      <c r="K19" s="74">
        <f>K18*((1.025)^4)</f>
        <v>36.570213315159506</v>
      </c>
      <c r="L19" s="73">
        <f t="shared" ref="L19:L23" si="11">MEDIAN(K19,M19)</f>
        <v>37.495896839699483</v>
      </c>
      <c r="M19" s="75">
        <f>K18*((1.025)^6)</f>
        <v>38.421580364239453</v>
      </c>
      <c r="N19" s="74">
        <f>N18*((1.025)^4)</f>
        <v>40.227234646675463</v>
      </c>
      <c r="O19" s="73">
        <f t="shared" ref="O19:O23" si="12">MEDIAN(N19,P19)</f>
        <v>41.245486523669427</v>
      </c>
      <c r="P19" s="75">
        <f>N18*((1.025)^6)</f>
        <v>42.263738400663399</v>
      </c>
      <c r="Q19" s="74">
        <f>Q18*((1.025)^4)</f>
        <v>44.249958111343012</v>
      </c>
      <c r="R19" s="73">
        <f t="shared" ref="R19:R23" si="13">MEDIAN(Q19,S19)</f>
        <v>45.370035176036382</v>
      </c>
      <c r="S19" s="75">
        <f>Q18*((1.025)^6)</f>
        <v>46.490112240729744</v>
      </c>
      <c r="T19" s="73"/>
      <c r="U19" s="1">
        <v>14</v>
      </c>
      <c r="V19" s="46">
        <f t="shared" si="0"/>
        <v>30.912255068143939</v>
      </c>
      <c r="W19" s="46">
        <f t="shared" si="1"/>
        <v>38.688400696445854</v>
      </c>
      <c r="X19" s="46">
        <f t="shared" si="2"/>
        <v>42.557240766090459</v>
      </c>
      <c r="Y19" s="46">
        <f t="shared" si="3"/>
        <v>46.8129648426995</v>
      </c>
      <c r="Z19" s="46">
        <f t="shared" si="4"/>
        <v>51.494261326969436</v>
      </c>
      <c r="AA19" s="46">
        <f t="shared" si="5"/>
        <v>56.643687459666388</v>
      </c>
    </row>
    <row r="20" spans="1:27" x14ac:dyDescent="0.2">
      <c r="A20" s="76" t="s">
        <v>144</v>
      </c>
      <c r="B20" s="73">
        <f>B18*((1.025)^7)</f>
        <v>26.005405526860738</v>
      </c>
      <c r="C20" s="73">
        <f t="shared" si="8"/>
        <v>26.663667354259395</v>
      </c>
      <c r="D20" s="73">
        <f>B18*((1.025)^9)</f>
        <v>27.321929181658053</v>
      </c>
      <c r="E20" s="74">
        <f>E18*((1.025)^7)</f>
        <v>32.547206506897055</v>
      </c>
      <c r="F20" s="73">
        <f t="shared" si="9"/>
        <v>33.371057671602884</v>
      </c>
      <c r="G20" s="75">
        <f>E18*((1.025)^9)</f>
        <v>34.194908836308713</v>
      </c>
      <c r="H20" s="73">
        <f>H18*((1.025)^7)</f>
        <v>35.801927157586761</v>
      </c>
      <c r="I20" s="73">
        <f t="shared" si="10"/>
        <v>36.708163438763172</v>
      </c>
      <c r="J20" s="75">
        <f>H18*((1.025)^9)</f>
        <v>37.614399719939584</v>
      </c>
      <c r="K20" s="74">
        <f>K18*((1.025)^7)</f>
        <v>39.382119873345438</v>
      </c>
      <c r="L20" s="73">
        <f t="shared" si="11"/>
        <v>40.37897978263949</v>
      </c>
      <c r="M20" s="75">
        <f>K18*((1.025)^9)</f>
        <v>41.375839691933542</v>
      </c>
      <c r="N20" s="74">
        <f>N18*((1.025)^7)</f>
        <v>43.320331860679985</v>
      </c>
      <c r="O20" s="73">
        <f t="shared" si="12"/>
        <v>44.416877760903446</v>
      </c>
      <c r="P20" s="75">
        <f>N18*((1.025)^9)</f>
        <v>45.5134236611269</v>
      </c>
      <c r="Q20" s="74">
        <f>Q18*((1.025)^7)</f>
        <v>47.652365046747988</v>
      </c>
      <c r="R20" s="73">
        <f t="shared" si="13"/>
        <v>48.858565536993794</v>
      </c>
      <c r="S20" s="75">
        <f>Q18*((1.025)^9)</f>
        <v>50.064766027239592</v>
      </c>
      <c r="T20" s="73"/>
      <c r="U20" s="1">
        <v>15</v>
      </c>
      <c r="V20" s="46">
        <f t="shared" si="0"/>
        <v>31.685061444847534</v>
      </c>
      <c r="W20" s="46">
        <f t="shared" si="1"/>
        <v>39.655610713856994</v>
      </c>
      <c r="X20" s="46">
        <f t="shared" si="2"/>
        <v>43.621171785242716</v>
      </c>
      <c r="Y20" s="46">
        <f t="shared" si="3"/>
        <v>47.983288963766981</v>
      </c>
      <c r="Z20" s="46">
        <f t="shared" si="4"/>
        <v>52.781617860143669</v>
      </c>
      <c r="AA20" s="46">
        <f t="shared" si="5"/>
        <v>58.059779646158042</v>
      </c>
    </row>
    <row r="21" spans="1:27" x14ac:dyDescent="0.2">
      <c r="A21" s="76" t="s">
        <v>145</v>
      </c>
      <c r="B21" s="73">
        <f>B18*((1.025)^10)</f>
        <v>28.004977411199505</v>
      </c>
      <c r="C21" s="73">
        <f t="shared" si="8"/>
        <v>28.713853401920492</v>
      </c>
      <c r="D21" s="73">
        <f>B18*((1.025)^12)</f>
        <v>29.422729392641479</v>
      </c>
      <c r="E21" s="74">
        <f>E18*((1.025)^10)</f>
        <v>35.049781557216427</v>
      </c>
      <c r="F21" s="73">
        <f t="shared" si="9"/>
        <v>35.936979152883467</v>
      </c>
      <c r="G21" s="75">
        <f>E18*((1.025)^12)</f>
        <v>36.824176748550506</v>
      </c>
      <c r="H21" s="73">
        <f>H18*((1.025)^10)</f>
        <v>38.554759712938072</v>
      </c>
      <c r="I21" s="73">
        <f t="shared" si="10"/>
        <v>39.530677068171812</v>
      </c>
      <c r="J21" s="75">
        <f>H18*((1.025)^12)</f>
        <v>40.506594423405559</v>
      </c>
      <c r="K21" s="74">
        <f>K18*((1.025)^10)</f>
        <v>42.410235684231878</v>
      </c>
      <c r="L21" s="73">
        <f t="shared" si="11"/>
        <v>43.483744774988992</v>
      </c>
      <c r="M21" s="75">
        <f>K18*((1.025)^12)</f>
        <v>44.557253865746112</v>
      </c>
      <c r="N21" s="74">
        <f>N18*((1.025)^10)</f>
        <v>46.651259252655073</v>
      </c>
      <c r="O21" s="73">
        <f t="shared" si="12"/>
        <v>47.8321192524879</v>
      </c>
      <c r="P21" s="75">
        <f>N18*((1.025)^12)</f>
        <v>49.012979252320733</v>
      </c>
      <c r="Q21" s="74">
        <f>Q18*((1.025)^10)</f>
        <v>51.31638517792058</v>
      </c>
      <c r="R21" s="73">
        <f t="shared" si="13"/>
        <v>52.615331177736692</v>
      </c>
      <c r="S21" s="75">
        <f>Q18*((1.025)^12)</f>
        <v>53.914277177552805</v>
      </c>
      <c r="T21" s="73"/>
      <c r="U21" s="1">
        <v>16</v>
      </c>
      <c r="V21" s="46">
        <f t="shared" si="0"/>
        <v>32.477187980968722</v>
      </c>
      <c r="W21" s="46">
        <f t="shared" si="1"/>
        <v>40.647000981703414</v>
      </c>
      <c r="X21" s="46">
        <f t="shared" si="2"/>
        <v>44.711701079873777</v>
      </c>
      <c r="Y21" s="46">
        <f t="shared" si="3"/>
        <v>49.182871187861153</v>
      </c>
      <c r="Z21" s="46">
        <f t="shared" si="4"/>
        <v>54.101158306647257</v>
      </c>
      <c r="AA21" s="46">
        <f t="shared" si="5"/>
        <v>59.511274137311986</v>
      </c>
    </row>
    <row r="22" spans="1:27" x14ac:dyDescent="0.2">
      <c r="A22" s="76" t="s">
        <v>146</v>
      </c>
      <c r="B22" s="73">
        <f>B18*((1.025)^13)</f>
        <v>30.158297627457515</v>
      </c>
      <c r="C22" s="73">
        <f t="shared" si="8"/>
        <v>30.921679536152531</v>
      </c>
      <c r="D22" s="73">
        <f>B18*((1.025)^15)</f>
        <v>31.685061444847552</v>
      </c>
      <c r="E22" s="74">
        <f>E18*((1.025)^13)</f>
        <v>37.744781167264264</v>
      </c>
      <c r="F22" s="73">
        <f t="shared" si="9"/>
        <v>38.700195940560647</v>
      </c>
      <c r="G22" s="75">
        <f>E18*((1.025)^15)</f>
        <v>39.655610713857023</v>
      </c>
      <c r="H22" s="73">
        <f>H18*((1.025)^13)</f>
        <v>41.519259283990692</v>
      </c>
      <c r="I22" s="73">
        <f t="shared" si="10"/>
        <v>42.570215534616707</v>
      </c>
      <c r="J22" s="75">
        <f>H18*((1.025)^15)</f>
        <v>43.621171785242723</v>
      </c>
      <c r="K22" s="74">
        <f>K18*((1.025)^13)</f>
        <v>45.671185212389766</v>
      </c>
      <c r="L22" s="73">
        <f t="shared" si="11"/>
        <v>46.827237088078377</v>
      </c>
      <c r="M22" s="75">
        <f>K18*((1.025)^15)</f>
        <v>47.983288963766995</v>
      </c>
      <c r="N22" s="74">
        <f>N18*((1.025)^13)</f>
        <v>50.238303733628747</v>
      </c>
      <c r="O22" s="73">
        <f t="shared" si="12"/>
        <v>51.509960796886226</v>
      </c>
      <c r="P22" s="75">
        <f>N18*((1.025)^15)</f>
        <v>52.781617860143704</v>
      </c>
      <c r="Q22" s="74">
        <f>Q18*((1.025)^13)</f>
        <v>55.262134106991624</v>
      </c>
      <c r="R22" s="73">
        <f t="shared" si="13"/>
        <v>56.660956876574851</v>
      </c>
      <c r="S22" s="75">
        <f>Q18*((1.025)^15)</f>
        <v>58.059779646158077</v>
      </c>
      <c r="T22" s="73"/>
      <c r="U22" s="1">
        <v>17</v>
      </c>
      <c r="V22" s="46">
        <f t="shared" si="0"/>
        <v>33.289117680492936</v>
      </c>
      <c r="W22" s="46">
        <f t="shared" si="1"/>
        <v>41.663176006245997</v>
      </c>
      <c r="X22" s="46">
        <f t="shared" si="2"/>
        <v>45.829493606870614</v>
      </c>
      <c r="Y22" s="46">
        <f t="shared" si="3"/>
        <v>50.412442967557681</v>
      </c>
      <c r="Z22" s="46">
        <f t="shared" si="4"/>
        <v>55.45368726431343</v>
      </c>
      <c r="AA22" s="46">
        <f t="shared" si="5"/>
        <v>60.999055990744779</v>
      </c>
    </row>
    <row r="23" spans="1:27" x14ac:dyDescent="0.2">
      <c r="A23" s="77" t="s">
        <v>147</v>
      </c>
      <c r="B23" s="78">
        <f>B18*((1.025)^16)</f>
        <v>32.477187980968736</v>
      </c>
      <c r="C23" s="78">
        <f t="shared" si="8"/>
        <v>34.162963362806664</v>
      </c>
      <c r="D23" s="78">
        <f>B18*((1.025)^20)</f>
        <v>35.848738744644599</v>
      </c>
      <c r="E23" s="79">
        <f>E18*((1.025)^16)</f>
        <v>40.647000981703442</v>
      </c>
      <c r="F23" s="78">
        <f t="shared" si="9"/>
        <v>42.75684231527736</v>
      </c>
      <c r="G23" s="80">
        <f>E18*((1.025)^20)</f>
        <v>44.866683648851279</v>
      </c>
      <c r="H23" s="79">
        <f>H18*((1.025)^16)</f>
        <v>44.711701079873791</v>
      </c>
      <c r="I23" s="78">
        <f t="shared" si="10"/>
        <v>47.032526546805101</v>
      </c>
      <c r="J23" s="80">
        <f>H18*((1.025)^20)</f>
        <v>49.353352013736412</v>
      </c>
      <c r="K23" s="78">
        <f>K18*((1.025)^16)</f>
        <v>49.182871187861167</v>
      </c>
      <c r="L23" s="78">
        <f t="shared" si="11"/>
        <v>51.735779201485613</v>
      </c>
      <c r="M23" s="80">
        <f>K18*((1.025)^20)</f>
        <v>54.288687215110052</v>
      </c>
      <c r="N23" s="78">
        <f>N18*((1.025)^16)</f>
        <v>54.101158306647292</v>
      </c>
      <c r="O23" s="78">
        <f t="shared" si="12"/>
        <v>56.909357121634173</v>
      </c>
      <c r="P23" s="78">
        <f>N18*((1.025)^20)</f>
        <v>59.717555936621061</v>
      </c>
      <c r="Q23" s="79">
        <f>Q18*((1.025)^16)</f>
        <v>59.511274137312022</v>
      </c>
      <c r="R23" s="78">
        <f t="shared" si="13"/>
        <v>62.600292833797596</v>
      </c>
      <c r="S23" s="80">
        <f>Q18*((1.025)^20)</f>
        <v>65.689311530283177</v>
      </c>
      <c r="T23" s="73"/>
      <c r="U23" s="1">
        <v>18</v>
      </c>
      <c r="V23" s="46">
        <f t="shared" si="0"/>
        <v>34.12134562250526</v>
      </c>
      <c r="W23" s="46">
        <f t="shared" si="1"/>
        <v>42.704755406402143</v>
      </c>
      <c r="X23" s="46">
        <f t="shared" si="2"/>
        <v>46.975230947042377</v>
      </c>
      <c r="Y23" s="46">
        <f t="shared" si="3"/>
        <v>51.672754041746622</v>
      </c>
      <c r="Z23" s="46">
        <f t="shared" si="4"/>
        <v>56.84002944592126</v>
      </c>
      <c r="AA23" s="46">
        <f t="shared" si="5"/>
        <v>62.524032390513391</v>
      </c>
    </row>
    <row r="24" spans="1:27" ht="15" x14ac:dyDescent="0.25">
      <c r="A24" s="44"/>
      <c r="B24" s="36"/>
      <c r="C24" s="46"/>
      <c r="D24" s="36"/>
      <c r="E24" s="81"/>
      <c r="F24" s="81"/>
      <c r="G24" s="81"/>
      <c r="H24" s="81"/>
      <c r="I24" s="73"/>
      <c r="J24" s="73"/>
      <c r="M24" s="40"/>
      <c r="P24" s="1"/>
      <c r="U24" s="1">
        <v>19</v>
      </c>
      <c r="V24" s="46">
        <f t="shared" si="0"/>
        <v>34.974379263067888</v>
      </c>
      <c r="W24" s="46">
        <f t="shared" si="1"/>
        <v>43.772374291562194</v>
      </c>
      <c r="X24" s="46">
        <f t="shared" si="2"/>
        <v>48.149611720718433</v>
      </c>
      <c r="Y24" s="46">
        <f t="shared" si="3"/>
        <v>52.964572892790279</v>
      </c>
      <c r="Z24" s="46">
        <f t="shared" si="4"/>
        <v>58.261030182069284</v>
      </c>
      <c r="AA24" s="46">
        <f t="shared" si="5"/>
        <v>64.087133200276213</v>
      </c>
    </row>
    <row r="25" spans="1:27" ht="15" x14ac:dyDescent="0.25">
      <c r="A25" s="44"/>
      <c r="B25" s="36"/>
      <c r="C25" s="46"/>
      <c r="D25" s="36"/>
      <c r="E25" s="81"/>
      <c r="F25" s="81"/>
      <c r="G25" s="81"/>
      <c r="H25" s="81"/>
      <c r="I25" s="73"/>
      <c r="J25" s="73"/>
      <c r="M25" s="40"/>
      <c r="P25" s="1"/>
      <c r="U25" s="1">
        <v>20</v>
      </c>
      <c r="V25" s="46">
        <f t="shared" si="0"/>
        <v>35.848738744644585</v>
      </c>
      <c r="W25" s="46">
        <f t="shared" si="1"/>
        <v>44.866683648851243</v>
      </c>
      <c r="X25" s="46">
        <f t="shared" si="2"/>
        <v>49.353352013736391</v>
      </c>
      <c r="Y25" s="46">
        <f t="shared" si="3"/>
        <v>54.288687215110031</v>
      </c>
      <c r="Z25" s="46">
        <f t="shared" si="4"/>
        <v>59.717555936621011</v>
      </c>
      <c r="AA25" s="46">
        <f t="shared" si="5"/>
        <v>65.689311530283106</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148</v>
      </c>
      <c r="B28" s="28"/>
      <c r="C28" s="28"/>
      <c r="D28" s="28"/>
      <c r="E28" s="28"/>
      <c r="F28" s="28"/>
      <c r="G28" s="28"/>
      <c r="H28" s="28"/>
      <c r="I28" s="28"/>
      <c r="J28" s="28"/>
      <c r="K28" s="28"/>
      <c r="L28" s="28"/>
      <c r="M28" s="28"/>
      <c r="N28" s="28"/>
      <c r="O28" s="28"/>
      <c r="P28" s="28"/>
      <c r="Q28" s="28"/>
      <c r="R28" s="28"/>
      <c r="S28" s="28"/>
      <c r="U28" s="46"/>
      <c r="V28" s="46" t="s">
        <v>60</v>
      </c>
      <c r="W28" s="46"/>
      <c r="X28" s="46"/>
      <c r="Y28" s="46"/>
      <c r="Z28" s="46"/>
      <c r="AA28" s="46"/>
    </row>
    <row r="29" spans="1:27" ht="15.75" thickBot="1" x14ac:dyDescent="0.3">
      <c r="A29" s="298" t="s">
        <v>135</v>
      </c>
      <c r="B29" s="303" t="s">
        <v>32</v>
      </c>
      <c r="C29" s="282"/>
      <c r="D29" s="282"/>
      <c r="E29" s="282" t="s">
        <v>32</v>
      </c>
      <c r="F29" s="282"/>
      <c r="G29" s="282"/>
      <c r="H29" s="282" t="s">
        <v>33</v>
      </c>
      <c r="I29" s="282"/>
      <c r="J29" s="282"/>
      <c r="K29" s="282" t="s">
        <v>34</v>
      </c>
      <c r="L29" s="282"/>
      <c r="M29" s="282"/>
      <c r="N29" s="282" t="s">
        <v>34</v>
      </c>
      <c r="O29" s="282"/>
      <c r="P29" s="297"/>
      <c r="Q29" s="282" t="s">
        <v>34</v>
      </c>
      <c r="R29" s="282"/>
      <c r="S29" s="297"/>
      <c r="U29" s="46" t="s">
        <v>128</v>
      </c>
      <c r="V29" s="46" t="s">
        <v>129</v>
      </c>
      <c r="W29" s="46" t="s">
        <v>47</v>
      </c>
      <c r="X29" s="46" t="s">
        <v>49</v>
      </c>
      <c r="Y29" s="46" t="s">
        <v>130</v>
      </c>
      <c r="Z29" s="46" t="s">
        <v>131</v>
      </c>
      <c r="AA29" s="46" t="s">
        <v>132</v>
      </c>
    </row>
    <row r="30" spans="1:27" ht="15" x14ac:dyDescent="0.2">
      <c r="A30" s="299"/>
      <c r="B30" s="304" t="s">
        <v>149</v>
      </c>
      <c r="C30" s="305"/>
      <c r="D30" s="311"/>
      <c r="E30" s="294" t="s">
        <v>127</v>
      </c>
      <c r="F30" s="295"/>
      <c r="G30" s="295"/>
      <c r="H30" s="276" t="s">
        <v>42</v>
      </c>
      <c r="I30" s="277"/>
      <c r="J30" s="278"/>
      <c r="K30" s="294" t="s">
        <v>43</v>
      </c>
      <c r="L30" s="295"/>
      <c r="M30" s="296"/>
      <c r="N30" s="294" t="s">
        <v>44</v>
      </c>
      <c r="O30" s="295"/>
      <c r="P30" s="296"/>
      <c r="Q30" s="294" t="s">
        <v>150</v>
      </c>
      <c r="R30" s="295"/>
      <c r="S30" s="296"/>
      <c r="U30" s="1">
        <v>0</v>
      </c>
      <c r="V30" s="209">
        <f>H8</f>
        <v>19.888585085449218</v>
      </c>
      <c r="W30" s="209">
        <f>I8</f>
        <v>24.891666666666669</v>
      </c>
      <c r="X30" s="209">
        <f>K8</f>
        <v>27.380833333333339</v>
      </c>
      <c r="Y30" s="209">
        <f>M8</f>
        <v>30.118916666666674</v>
      </c>
      <c r="Z30" s="209">
        <f>N8</f>
        <v>33.130808333333341</v>
      </c>
      <c r="AA30" s="209">
        <f>O8</f>
        <v>36.443889166666679</v>
      </c>
    </row>
    <row r="31" spans="1:27" ht="15" thickBot="1" x14ac:dyDescent="0.25">
      <c r="A31" s="300"/>
      <c r="B31" s="65" t="s">
        <v>139</v>
      </c>
      <c r="C31" s="66" t="s">
        <v>140</v>
      </c>
      <c r="D31" s="70" t="s">
        <v>141</v>
      </c>
      <c r="E31" s="68" t="s">
        <v>139</v>
      </c>
      <c r="F31" s="68" t="s">
        <v>140</v>
      </c>
      <c r="G31" s="68" t="s">
        <v>141</v>
      </c>
      <c r="H31" s="65" t="s">
        <v>139</v>
      </c>
      <c r="I31" s="66" t="s">
        <v>140</v>
      </c>
      <c r="J31" s="70" t="s">
        <v>141</v>
      </c>
      <c r="K31" s="65" t="s">
        <v>139</v>
      </c>
      <c r="L31" s="66" t="s">
        <v>140</v>
      </c>
      <c r="M31" s="70" t="s">
        <v>141</v>
      </c>
      <c r="N31" s="65" t="s">
        <v>139</v>
      </c>
      <c r="O31" s="66" t="s">
        <v>140</v>
      </c>
      <c r="P31" s="70" t="s">
        <v>141</v>
      </c>
      <c r="Q31" s="65" t="s">
        <v>139</v>
      </c>
      <c r="R31" s="66" t="s">
        <v>140</v>
      </c>
      <c r="S31" s="70" t="s">
        <v>141</v>
      </c>
      <c r="U31" s="1">
        <v>1</v>
      </c>
      <c r="V31" s="209">
        <f t="shared" ref="V31:V50" si="14">V30*1.025</f>
        <v>20.385799712585445</v>
      </c>
      <c r="W31" s="209">
        <f t="shared" ref="W31:W50" si="15">W30*1.025</f>
        <v>25.513958333333335</v>
      </c>
      <c r="X31" s="209">
        <f t="shared" ref="X31:X50" si="16">X30*1.025</f>
        <v>28.065354166666669</v>
      </c>
      <c r="Y31" s="209">
        <f t="shared" ref="Y31:Y50" si="17">Y30*1.025</f>
        <v>30.871889583333338</v>
      </c>
      <c r="Z31" s="209">
        <f t="shared" ref="Z31:Z50" si="18">Z30*1.025</f>
        <v>33.959078541666671</v>
      </c>
      <c r="AA31" s="209">
        <f t="shared" ref="AA31:AA50" si="19">AA30*1.025</f>
        <v>37.354986395833343</v>
      </c>
    </row>
    <row r="32" spans="1:27" x14ac:dyDescent="0.2">
      <c r="A32" s="72" t="s">
        <v>142</v>
      </c>
      <c r="B32" s="73">
        <f>F8</f>
        <v>19.888585085449218</v>
      </c>
      <c r="C32" s="73">
        <f>MEDIAN(B32,D32)</f>
        <v>20.653207954242152</v>
      </c>
      <c r="D32" s="75">
        <f>B32*((1.025)^3)</f>
        <v>21.417830823035086</v>
      </c>
      <c r="E32" s="73">
        <f>I8</f>
        <v>24.891666666666669</v>
      </c>
      <c r="F32" s="73">
        <f>MEDIAN(E32,G32)</f>
        <v>25.848634570312502</v>
      </c>
      <c r="G32" s="73">
        <f>E32*((1.025)^3)</f>
        <v>26.805602473958334</v>
      </c>
      <c r="H32" s="74">
        <f>K8</f>
        <v>27.380833333333339</v>
      </c>
      <c r="I32" s="73">
        <f>MEDIAN(H32,J32)</f>
        <v>28.433498027343752</v>
      </c>
      <c r="J32" s="75">
        <f>H32*((1.025)^3)</f>
        <v>29.486162721354169</v>
      </c>
      <c r="K32" s="74">
        <f>M8</f>
        <v>30.118916666666674</v>
      </c>
      <c r="L32" s="73">
        <f>MEDIAN(K32,M32)</f>
        <v>31.276847830078133</v>
      </c>
      <c r="M32" s="75">
        <f>K32*((1.025)^3)</f>
        <v>32.434778993489587</v>
      </c>
      <c r="N32" s="74">
        <f>N8</f>
        <v>33.130808333333341</v>
      </c>
      <c r="O32" s="73">
        <f>MEDIAN(N32,P32)</f>
        <v>34.404532613085948</v>
      </c>
      <c r="P32" s="75">
        <f>N32*((1.025)^3)</f>
        <v>35.678256892838547</v>
      </c>
      <c r="Q32" s="74">
        <f>O8</f>
        <v>36.443889166666679</v>
      </c>
      <c r="R32" s="73">
        <f>MEDIAN(Q32,S32)</f>
        <v>37.844985874394538</v>
      </c>
      <c r="S32" s="75">
        <f>Q32*((1.025)^3)</f>
        <v>39.246082582122405</v>
      </c>
      <c r="U32" s="1">
        <v>2</v>
      </c>
      <c r="V32" s="209">
        <f t="shared" si="14"/>
        <v>20.895444705400081</v>
      </c>
      <c r="W32" s="209">
        <f t="shared" si="15"/>
        <v>26.151807291666668</v>
      </c>
      <c r="X32" s="209">
        <f t="shared" si="16"/>
        <v>28.766988020833335</v>
      </c>
      <c r="Y32" s="209">
        <f t="shared" si="17"/>
        <v>31.643686822916671</v>
      </c>
      <c r="Z32" s="209">
        <f t="shared" si="18"/>
        <v>34.808055505208337</v>
      </c>
      <c r="AA32" s="209">
        <f t="shared" si="19"/>
        <v>38.288861055729171</v>
      </c>
    </row>
    <row r="33" spans="1:27" x14ac:dyDescent="0.2">
      <c r="A33" s="76" t="s">
        <v>143</v>
      </c>
      <c r="B33" s="73">
        <f>B32*((1.025)^4)</f>
        <v>21.953276593610958</v>
      </c>
      <c r="C33" s="73">
        <f t="shared" ref="C33:C37" si="20">MEDIAN(B33,D33)</f>
        <v>22.508968907386734</v>
      </c>
      <c r="D33" s="75">
        <f>B32*((1.025)^6)</f>
        <v>23.06466122116251</v>
      </c>
      <c r="E33" s="73">
        <f>E32*((1.025)^4)</f>
        <v>27.475742535807289</v>
      </c>
      <c r="F33" s="73">
        <f t="shared" ref="F33:F37" si="21">MEDIAN(E33,G33)</f>
        <v>28.171222268744906</v>
      </c>
      <c r="G33" s="73">
        <f>E32*((1.025)^6)</f>
        <v>28.866702001682526</v>
      </c>
      <c r="H33" s="74">
        <f>H32*((1.025)^4)</f>
        <v>30.223316789388019</v>
      </c>
      <c r="I33" s="73">
        <f t="shared" ref="I33:I37" si="22">MEDIAN(H33,J33)</f>
        <v>30.988344495619401</v>
      </c>
      <c r="J33" s="75">
        <f>H32*((1.025)^6)</f>
        <v>31.753372201850784</v>
      </c>
      <c r="K33" s="74">
        <f>K32*((1.025)^4)</f>
        <v>33.245648468326827</v>
      </c>
      <c r="L33" s="73">
        <f t="shared" ref="L33:L37" si="23">MEDIAN(K33,M33)</f>
        <v>34.08717894518135</v>
      </c>
      <c r="M33" s="75">
        <f>K32*((1.025)^6)</f>
        <v>34.928709422035865</v>
      </c>
      <c r="N33" s="74">
        <f>N32*((1.025)^4)</f>
        <v>36.570213315159506</v>
      </c>
      <c r="O33" s="73">
        <f t="shared" ref="O33:O37" si="24">MEDIAN(N33,P33)</f>
        <v>37.495896839699483</v>
      </c>
      <c r="P33" s="75">
        <f>N32*((1.025)^6)</f>
        <v>38.421580364239453</v>
      </c>
      <c r="Q33" s="74">
        <f>Q32*((1.025)^4)</f>
        <v>40.227234646675463</v>
      </c>
      <c r="R33" s="73">
        <f t="shared" ref="R33:R37" si="25">MEDIAN(Q33,S33)</f>
        <v>41.245486523669427</v>
      </c>
      <c r="S33" s="75">
        <f>Q32*((1.025)^6)</f>
        <v>42.263738400663399</v>
      </c>
      <c r="U33" s="1">
        <v>3</v>
      </c>
      <c r="V33" s="209">
        <f t="shared" si="14"/>
        <v>21.417830823035082</v>
      </c>
      <c r="W33" s="209">
        <f t="shared" si="15"/>
        <v>26.805602473958331</v>
      </c>
      <c r="X33" s="209">
        <f t="shared" si="16"/>
        <v>29.486162721354166</v>
      </c>
      <c r="Y33" s="209">
        <f t="shared" si="17"/>
        <v>32.434778993489587</v>
      </c>
      <c r="Z33" s="209">
        <f t="shared" si="18"/>
        <v>35.67825689283854</v>
      </c>
      <c r="AA33" s="209">
        <f t="shared" si="19"/>
        <v>39.246082582122398</v>
      </c>
    </row>
    <row r="34" spans="1:27" x14ac:dyDescent="0.2">
      <c r="A34" s="76" t="s">
        <v>144</v>
      </c>
      <c r="B34" s="73">
        <f>B32*((1.025)^7)</f>
        <v>23.641277751691575</v>
      </c>
      <c r="C34" s="73">
        <f t="shared" si="20"/>
        <v>24.239697594781262</v>
      </c>
      <c r="D34" s="75">
        <f>B32*((1.025)^9)</f>
        <v>24.838117437870952</v>
      </c>
      <c r="E34" s="73">
        <f>E32*((1.025)^7)</f>
        <v>29.588369551724593</v>
      </c>
      <c r="F34" s="73">
        <f t="shared" si="21"/>
        <v>30.337325156002617</v>
      </c>
      <c r="G34" s="73">
        <f>E32*((1.025)^9)</f>
        <v>31.086280760280641</v>
      </c>
      <c r="H34" s="74">
        <f>H32*((1.025)^7)</f>
        <v>32.547206506897055</v>
      </c>
      <c r="I34" s="73">
        <f t="shared" si="22"/>
        <v>33.371057671602884</v>
      </c>
      <c r="J34" s="75">
        <f>H32*((1.025)^9)</f>
        <v>34.194908836308713</v>
      </c>
      <c r="K34" s="74">
        <f>K32*((1.025)^7)</f>
        <v>35.801927157586761</v>
      </c>
      <c r="L34" s="73">
        <f t="shared" si="23"/>
        <v>36.708163438763172</v>
      </c>
      <c r="M34" s="75">
        <f>K32*((1.025)^9)</f>
        <v>37.614399719939584</v>
      </c>
      <c r="N34" s="74">
        <f>N32*((1.025)^7)</f>
        <v>39.382119873345438</v>
      </c>
      <c r="O34" s="73">
        <f t="shared" si="24"/>
        <v>40.37897978263949</v>
      </c>
      <c r="P34" s="75">
        <f>N32*((1.025)^9)</f>
        <v>41.375839691933542</v>
      </c>
      <c r="Q34" s="74">
        <f>Q32*((1.025)^7)</f>
        <v>43.320331860679985</v>
      </c>
      <c r="R34" s="73">
        <f t="shared" si="25"/>
        <v>44.416877760903446</v>
      </c>
      <c r="S34" s="75">
        <f>Q32*((1.025)^9)</f>
        <v>45.5134236611269</v>
      </c>
      <c r="U34" s="1">
        <v>4</v>
      </c>
      <c r="V34" s="209">
        <f t="shared" si="14"/>
        <v>21.953276593610958</v>
      </c>
      <c r="W34" s="209">
        <f t="shared" si="15"/>
        <v>27.475742535807285</v>
      </c>
      <c r="X34" s="209">
        <f t="shared" si="16"/>
        <v>30.223316789388019</v>
      </c>
      <c r="Y34" s="209">
        <f t="shared" si="17"/>
        <v>33.245648468326827</v>
      </c>
      <c r="Z34" s="209">
        <f t="shared" si="18"/>
        <v>36.570213315159499</v>
      </c>
      <c r="AA34" s="209">
        <f t="shared" si="19"/>
        <v>40.227234646675456</v>
      </c>
    </row>
    <row r="35" spans="1:27" x14ac:dyDescent="0.2">
      <c r="A35" s="76" t="s">
        <v>145</v>
      </c>
      <c r="B35" s="73">
        <f>B32*((1.025)^10)</f>
        <v>25.459070373817728</v>
      </c>
      <c r="C35" s="73">
        <f t="shared" si="20"/>
        <v>26.103503092654989</v>
      </c>
      <c r="D35" s="75">
        <f>B32*((1.025)^12)</f>
        <v>26.747935811492248</v>
      </c>
      <c r="E35" s="73">
        <f>E32*((1.025)^10)</f>
        <v>31.863437779287658</v>
      </c>
      <c r="F35" s="73">
        <f t="shared" si="21"/>
        <v>32.669981048075876</v>
      </c>
      <c r="G35" s="73">
        <f>E32*((1.025)^12)</f>
        <v>33.476524316864094</v>
      </c>
      <c r="H35" s="74">
        <f>H32*((1.025)^10)</f>
        <v>35.049781557216427</v>
      </c>
      <c r="I35" s="73">
        <f t="shared" si="22"/>
        <v>35.936979152883467</v>
      </c>
      <c r="J35" s="75">
        <f>H32*((1.025)^12)</f>
        <v>36.824176748550506</v>
      </c>
      <c r="K35" s="74">
        <f>K32*((1.025)^10)</f>
        <v>38.554759712938072</v>
      </c>
      <c r="L35" s="73">
        <f t="shared" si="23"/>
        <v>39.530677068171812</v>
      </c>
      <c r="M35" s="75">
        <f>K32*((1.025)^12)</f>
        <v>40.506594423405559</v>
      </c>
      <c r="N35" s="74">
        <f>N32*((1.025)^10)</f>
        <v>42.410235684231878</v>
      </c>
      <c r="O35" s="73">
        <f t="shared" si="24"/>
        <v>43.483744774988992</v>
      </c>
      <c r="P35" s="75">
        <f>N32*((1.025)^12)</f>
        <v>44.557253865746112</v>
      </c>
      <c r="Q35" s="74">
        <f>Q32*((1.025)^10)</f>
        <v>46.651259252655073</v>
      </c>
      <c r="R35" s="73">
        <f t="shared" si="25"/>
        <v>47.8321192524879</v>
      </c>
      <c r="S35" s="75">
        <f>Q32*((1.025)^12)</f>
        <v>49.012979252320733</v>
      </c>
      <c r="U35" s="1">
        <v>5</v>
      </c>
      <c r="V35" s="209">
        <f t="shared" si="14"/>
        <v>22.502108508451229</v>
      </c>
      <c r="W35" s="209">
        <f t="shared" si="15"/>
        <v>28.162636099202466</v>
      </c>
      <c r="X35" s="209">
        <f t="shared" si="16"/>
        <v>30.978899709122718</v>
      </c>
      <c r="Y35" s="209">
        <f t="shared" si="17"/>
        <v>34.076789680034992</v>
      </c>
      <c r="Z35" s="209">
        <f t="shared" si="18"/>
        <v>37.484468648038487</v>
      </c>
      <c r="AA35" s="209">
        <f t="shared" si="19"/>
        <v>41.232915512842339</v>
      </c>
    </row>
    <row r="36" spans="1:27" x14ac:dyDescent="0.2">
      <c r="A36" s="76" t="s">
        <v>146</v>
      </c>
      <c r="B36" s="73">
        <f>B32*((1.025)^13)</f>
        <v>27.416634206779552</v>
      </c>
      <c r="C36" s="73">
        <f t="shared" si="20"/>
        <v>28.110617760138659</v>
      </c>
      <c r="D36" s="73">
        <f>B32*((1.025)^15)</f>
        <v>28.80460131349777</v>
      </c>
      <c r="E36" s="74">
        <f>E32*((1.025)^13)</f>
        <v>34.313437424785697</v>
      </c>
      <c r="F36" s="73">
        <f t="shared" si="21"/>
        <v>35.181996309600585</v>
      </c>
      <c r="G36" s="75">
        <f>E32*((1.025)^15)</f>
        <v>36.050555194415473</v>
      </c>
      <c r="H36" s="73">
        <f>H32*((1.025)^13)</f>
        <v>37.744781167264264</v>
      </c>
      <c r="I36" s="73">
        <f t="shared" si="22"/>
        <v>38.700195940560647</v>
      </c>
      <c r="J36" s="75">
        <f>H32*((1.025)^15)</f>
        <v>39.655610713857023</v>
      </c>
      <c r="K36" s="74">
        <f>K32*((1.025)^13)</f>
        <v>41.519259283990692</v>
      </c>
      <c r="L36" s="73">
        <f t="shared" si="23"/>
        <v>42.570215534616707</v>
      </c>
      <c r="M36" s="75">
        <f>K32*((1.025)^15)</f>
        <v>43.621171785242723</v>
      </c>
      <c r="N36" s="74">
        <f>N32*((1.025)^13)</f>
        <v>45.671185212389766</v>
      </c>
      <c r="O36" s="73">
        <f t="shared" si="24"/>
        <v>46.827237088078377</v>
      </c>
      <c r="P36" s="75">
        <f>N32*((1.025)^15)</f>
        <v>47.983288963766995</v>
      </c>
      <c r="Q36" s="74">
        <f>Q32*((1.025)^13)</f>
        <v>50.238303733628747</v>
      </c>
      <c r="R36" s="73">
        <f t="shared" si="25"/>
        <v>51.509960796886226</v>
      </c>
      <c r="S36" s="75">
        <f>Q32*((1.025)^15)</f>
        <v>52.781617860143704</v>
      </c>
      <c r="T36" s="46"/>
      <c r="U36" s="1">
        <v>6</v>
      </c>
      <c r="V36" s="209">
        <f t="shared" si="14"/>
        <v>23.06466122116251</v>
      </c>
      <c r="W36" s="209">
        <f t="shared" si="15"/>
        <v>28.866702001682526</v>
      </c>
      <c r="X36" s="209">
        <f t="shared" si="16"/>
        <v>31.753372201850784</v>
      </c>
      <c r="Y36" s="209">
        <f t="shared" si="17"/>
        <v>34.928709422035865</v>
      </c>
      <c r="Z36" s="209">
        <f t="shared" si="18"/>
        <v>38.421580364239446</v>
      </c>
      <c r="AA36" s="209">
        <f t="shared" si="19"/>
        <v>42.263738400663392</v>
      </c>
    </row>
    <row r="37" spans="1:27" x14ac:dyDescent="0.2">
      <c r="A37" s="77" t="s">
        <v>147</v>
      </c>
      <c r="B37" s="78">
        <f>B32*((1.025)^16)</f>
        <v>29.524716346335211</v>
      </c>
      <c r="C37" s="78">
        <f t="shared" si="20"/>
        <v>31.057239420733332</v>
      </c>
      <c r="D37" s="78">
        <f>B32*((1.025)^20)</f>
        <v>32.589762495131453</v>
      </c>
      <c r="E37" s="79">
        <f>E32*((1.025)^16)</f>
        <v>36.951819074275853</v>
      </c>
      <c r="F37" s="78">
        <f t="shared" si="21"/>
        <v>38.869856650252146</v>
      </c>
      <c r="G37" s="80">
        <f>E32*((1.025)^20)</f>
        <v>40.787894226228431</v>
      </c>
      <c r="H37" s="79">
        <f>H32*((1.025)^16)</f>
        <v>40.647000981703442</v>
      </c>
      <c r="I37" s="78">
        <f t="shared" si="22"/>
        <v>42.75684231527736</v>
      </c>
      <c r="J37" s="80">
        <f>H32*((1.025)^20)</f>
        <v>44.866683648851279</v>
      </c>
      <c r="K37" s="78">
        <f>K32*((1.025)^16)</f>
        <v>44.711701079873791</v>
      </c>
      <c r="L37" s="78">
        <f t="shared" si="23"/>
        <v>47.032526546805101</v>
      </c>
      <c r="M37" s="80">
        <f>K32*((1.025)^20)</f>
        <v>49.353352013736412</v>
      </c>
      <c r="N37" s="78">
        <f>N32*((1.025)^16)</f>
        <v>49.182871187861167</v>
      </c>
      <c r="O37" s="78">
        <f t="shared" si="24"/>
        <v>51.735779201485613</v>
      </c>
      <c r="P37" s="78">
        <f>N32*((1.025)^20)</f>
        <v>54.288687215110052</v>
      </c>
      <c r="Q37" s="79">
        <f>Q32*((1.025)^16)</f>
        <v>54.101158306647292</v>
      </c>
      <c r="R37" s="78">
        <f t="shared" si="25"/>
        <v>56.909357121634173</v>
      </c>
      <c r="S37" s="80">
        <f>Q32*((1.025)^20)</f>
        <v>59.717555936621061</v>
      </c>
      <c r="U37" s="1">
        <v>7</v>
      </c>
      <c r="V37" s="209">
        <f t="shared" si="14"/>
        <v>23.641277751691572</v>
      </c>
      <c r="W37" s="209">
        <f t="shared" si="15"/>
        <v>29.588369551724586</v>
      </c>
      <c r="X37" s="209">
        <f t="shared" si="16"/>
        <v>32.547206506897048</v>
      </c>
      <c r="Y37" s="209">
        <f t="shared" si="17"/>
        <v>35.801927157586761</v>
      </c>
      <c r="Z37" s="209">
        <f t="shared" si="18"/>
        <v>39.382119873345431</v>
      </c>
      <c r="AA37" s="209">
        <f t="shared" si="19"/>
        <v>43.320331860679971</v>
      </c>
    </row>
    <row r="38" spans="1:27" ht="15" x14ac:dyDescent="0.25">
      <c r="A38" s="44"/>
      <c r="B38" s="36"/>
      <c r="C38" s="46"/>
      <c r="D38" s="36"/>
      <c r="E38" s="81"/>
      <c r="F38" s="81"/>
      <c r="G38" s="81"/>
      <c r="H38" s="81"/>
      <c r="I38" s="73"/>
      <c r="J38" s="73"/>
      <c r="M38" s="40"/>
      <c r="P38" s="1"/>
      <c r="U38" s="1">
        <v>8</v>
      </c>
      <c r="V38" s="209">
        <f t="shared" si="14"/>
        <v>24.23230969548386</v>
      </c>
      <c r="W38" s="209">
        <f t="shared" si="15"/>
        <v>30.328078790517697</v>
      </c>
      <c r="X38" s="209">
        <f t="shared" si="16"/>
        <v>33.360886669569474</v>
      </c>
      <c r="Y38" s="209">
        <f t="shared" si="17"/>
        <v>36.696975336526428</v>
      </c>
      <c r="Z38" s="209">
        <f t="shared" si="18"/>
        <v>40.366672870179066</v>
      </c>
      <c r="AA38" s="209">
        <f t="shared" si="19"/>
        <v>44.403340157196965</v>
      </c>
    </row>
    <row r="39" spans="1:27" x14ac:dyDescent="0.2">
      <c r="O39" s="40"/>
      <c r="P39" s="1"/>
      <c r="U39" s="1">
        <v>9</v>
      </c>
      <c r="V39" s="209">
        <f t="shared" si="14"/>
        <v>24.838117437870952</v>
      </c>
      <c r="W39" s="209">
        <f t="shared" si="15"/>
        <v>31.086280760280637</v>
      </c>
      <c r="X39" s="209">
        <f t="shared" si="16"/>
        <v>34.194908836308706</v>
      </c>
      <c r="Y39" s="209">
        <f t="shared" si="17"/>
        <v>37.614399719939584</v>
      </c>
      <c r="Z39" s="209">
        <f t="shared" si="18"/>
        <v>41.375839691933542</v>
      </c>
      <c r="AA39" s="209">
        <f t="shared" si="19"/>
        <v>45.513423661126886</v>
      </c>
    </row>
    <row r="40" spans="1:27" x14ac:dyDescent="0.2">
      <c r="U40" s="1">
        <v>10</v>
      </c>
      <c r="V40" s="209">
        <f t="shared" si="14"/>
        <v>25.459070373817724</v>
      </c>
      <c r="W40" s="209">
        <f t="shared" si="15"/>
        <v>31.863437779287651</v>
      </c>
      <c r="X40" s="209">
        <f t="shared" si="16"/>
        <v>35.04978155721642</v>
      </c>
      <c r="Y40" s="209">
        <f t="shared" si="17"/>
        <v>38.554759712938072</v>
      </c>
      <c r="Z40" s="209">
        <f t="shared" si="18"/>
        <v>42.410235684231878</v>
      </c>
      <c r="AA40" s="209">
        <f t="shared" si="19"/>
        <v>46.651259252655052</v>
      </c>
    </row>
    <row r="41" spans="1:27" x14ac:dyDescent="0.2">
      <c r="U41" s="1">
        <v>11</v>
      </c>
      <c r="V41" s="209">
        <f t="shared" si="14"/>
        <v>26.095547133163166</v>
      </c>
      <c r="W41" s="209">
        <f t="shared" si="15"/>
        <v>32.660023723769839</v>
      </c>
      <c r="X41" s="209">
        <f t="shared" si="16"/>
        <v>35.926026096146828</v>
      </c>
      <c r="Y41" s="209">
        <f t="shared" si="17"/>
        <v>39.518628705761522</v>
      </c>
      <c r="Z41" s="209">
        <f t="shared" si="18"/>
        <v>43.470491576337672</v>
      </c>
      <c r="AA41" s="209">
        <f t="shared" si="19"/>
        <v>47.817540733971427</v>
      </c>
    </row>
    <row r="42" spans="1:27" x14ac:dyDescent="0.2">
      <c r="D42" s="83"/>
      <c r="U42" s="1">
        <v>12</v>
      </c>
      <c r="V42" s="209">
        <f t="shared" si="14"/>
        <v>26.747935811492244</v>
      </c>
      <c r="W42" s="209">
        <f t="shared" si="15"/>
        <v>33.476524316864079</v>
      </c>
      <c r="X42" s="209">
        <f t="shared" si="16"/>
        <v>36.824176748550492</v>
      </c>
      <c r="Y42" s="209">
        <f t="shared" si="17"/>
        <v>40.506594423405559</v>
      </c>
      <c r="Z42" s="209">
        <f t="shared" si="18"/>
        <v>44.557253865746112</v>
      </c>
      <c r="AA42" s="209">
        <f t="shared" si="19"/>
        <v>49.012979252320712</v>
      </c>
    </row>
    <row r="43" spans="1:27" x14ac:dyDescent="0.2">
      <c r="D43" s="83"/>
      <c r="G43" s="35"/>
      <c r="U43" s="1">
        <v>13</v>
      </c>
      <c r="V43" s="209">
        <f t="shared" si="14"/>
        <v>27.416634206779548</v>
      </c>
      <c r="W43" s="209">
        <f t="shared" si="15"/>
        <v>34.313437424785675</v>
      </c>
      <c r="X43" s="209">
        <f t="shared" si="16"/>
        <v>37.74478116726425</v>
      </c>
      <c r="Y43" s="209">
        <f t="shared" si="17"/>
        <v>41.519259283990692</v>
      </c>
      <c r="Z43" s="209">
        <f t="shared" si="18"/>
        <v>45.671185212389759</v>
      </c>
      <c r="AA43" s="209">
        <f t="shared" si="19"/>
        <v>50.238303733628726</v>
      </c>
    </row>
    <row r="44" spans="1:27" x14ac:dyDescent="0.2">
      <c r="D44" s="83"/>
      <c r="U44" s="1">
        <v>14</v>
      </c>
      <c r="V44" s="209">
        <f t="shared" si="14"/>
        <v>28.102050061949036</v>
      </c>
      <c r="W44" s="209">
        <f t="shared" si="15"/>
        <v>35.171273360405316</v>
      </c>
      <c r="X44" s="209">
        <f t="shared" si="16"/>
        <v>38.688400696445854</v>
      </c>
      <c r="Y44" s="209">
        <f t="shared" si="17"/>
        <v>42.557240766090459</v>
      </c>
      <c r="Z44" s="209">
        <f t="shared" si="18"/>
        <v>46.8129648426995</v>
      </c>
      <c r="AA44" s="209">
        <f t="shared" si="19"/>
        <v>51.494261326969436</v>
      </c>
    </row>
    <row r="45" spans="1:27" x14ac:dyDescent="0.2">
      <c r="U45" s="1">
        <v>15</v>
      </c>
      <c r="V45" s="209">
        <f t="shared" si="14"/>
        <v>28.804601313497759</v>
      </c>
      <c r="W45" s="209">
        <f t="shared" si="15"/>
        <v>36.050555194415445</v>
      </c>
      <c r="X45" s="209">
        <f t="shared" si="16"/>
        <v>39.655610713856994</v>
      </c>
      <c r="Y45" s="209">
        <f t="shared" si="17"/>
        <v>43.621171785242716</v>
      </c>
      <c r="Z45" s="209">
        <f t="shared" si="18"/>
        <v>47.983288963766981</v>
      </c>
      <c r="AA45" s="209">
        <f t="shared" si="19"/>
        <v>52.781617860143669</v>
      </c>
    </row>
    <row r="46" spans="1:27" x14ac:dyDescent="0.2">
      <c r="U46" s="1">
        <v>16</v>
      </c>
      <c r="V46" s="209">
        <f t="shared" si="14"/>
        <v>29.5247163463352</v>
      </c>
      <c r="W46" s="209">
        <f t="shared" si="15"/>
        <v>36.951819074275825</v>
      </c>
      <c r="X46" s="209">
        <f t="shared" si="16"/>
        <v>40.647000981703414</v>
      </c>
      <c r="Y46" s="209">
        <f t="shared" si="17"/>
        <v>44.711701079873777</v>
      </c>
      <c r="Z46" s="209">
        <f t="shared" si="18"/>
        <v>49.182871187861153</v>
      </c>
      <c r="AA46" s="209">
        <f t="shared" si="19"/>
        <v>54.101158306647257</v>
      </c>
    </row>
    <row r="47" spans="1:27" x14ac:dyDescent="0.2">
      <c r="U47" s="1">
        <v>17</v>
      </c>
      <c r="V47" s="209">
        <f t="shared" si="14"/>
        <v>30.262834254993578</v>
      </c>
      <c r="W47" s="209">
        <f t="shared" si="15"/>
        <v>37.87561455113272</v>
      </c>
      <c r="X47" s="209">
        <f t="shared" si="16"/>
        <v>41.663176006245997</v>
      </c>
      <c r="Y47" s="209">
        <f t="shared" si="17"/>
        <v>45.829493606870614</v>
      </c>
      <c r="Z47" s="209">
        <f t="shared" si="18"/>
        <v>50.412442967557681</v>
      </c>
      <c r="AA47" s="209">
        <f t="shared" si="19"/>
        <v>55.45368726431343</v>
      </c>
    </row>
    <row r="48" spans="1:27" x14ac:dyDescent="0.2">
      <c r="U48" s="1">
        <v>18</v>
      </c>
      <c r="V48" s="209">
        <f t="shared" si="14"/>
        <v>31.019405111368414</v>
      </c>
      <c r="W48" s="209">
        <f t="shared" si="15"/>
        <v>38.822504914911036</v>
      </c>
      <c r="X48" s="209">
        <f t="shared" si="16"/>
        <v>42.704755406402143</v>
      </c>
      <c r="Y48" s="209">
        <f t="shared" si="17"/>
        <v>46.975230947042377</v>
      </c>
      <c r="Z48" s="209">
        <f t="shared" si="18"/>
        <v>51.672754041746622</v>
      </c>
      <c r="AA48" s="209">
        <f t="shared" si="19"/>
        <v>56.84002944592126</v>
      </c>
    </row>
    <row r="49" spans="1:27" x14ac:dyDescent="0.2">
      <c r="U49" s="1">
        <v>19</v>
      </c>
      <c r="V49" s="209">
        <f t="shared" si="14"/>
        <v>31.794890239152622</v>
      </c>
      <c r="W49" s="209">
        <f t="shared" si="15"/>
        <v>39.793067537783806</v>
      </c>
      <c r="X49" s="209">
        <f t="shared" si="16"/>
        <v>43.772374291562194</v>
      </c>
      <c r="Y49" s="209">
        <f t="shared" si="17"/>
        <v>48.149611720718433</v>
      </c>
      <c r="Z49" s="209">
        <f t="shared" si="18"/>
        <v>52.964572892790279</v>
      </c>
      <c r="AA49" s="209">
        <f t="shared" si="19"/>
        <v>58.261030182069284</v>
      </c>
    </row>
    <row r="50" spans="1:27" x14ac:dyDescent="0.2">
      <c r="U50" s="1">
        <v>20</v>
      </c>
      <c r="V50" s="209">
        <f t="shared" si="14"/>
        <v>32.589762495131431</v>
      </c>
      <c r="W50" s="209">
        <f t="shared" si="15"/>
        <v>40.787894226228396</v>
      </c>
      <c r="X50" s="209">
        <f t="shared" si="16"/>
        <v>44.866683648851243</v>
      </c>
      <c r="Y50" s="209">
        <f t="shared" si="17"/>
        <v>49.353352013736391</v>
      </c>
      <c r="Z50" s="209">
        <f t="shared" si="18"/>
        <v>54.288687215110031</v>
      </c>
      <c r="AA50" s="209">
        <f t="shared" si="19"/>
        <v>59.717555936621011</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G28" sqref="G28"/>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42" t="s">
        <v>151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2" spans="1:26" ht="15.75" x14ac:dyDescent="0.25">
      <c r="A2" s="225" t="s">
        <v>373</v>
      </c>
    </row>
    <row r="3" spans="1:26" x14ac:dyDescent="0.25">
      <c r="A3" s="12">
        <v>125</v>
      </c>
    </row>
    <row r="4" spans="1:26" ht="20.25" x14ac:dyDescent="0.3">
      <c r="A4" s="171"/>
      <c r="B4" s="171"/>
      <c r="C4" s="171"/>
      <c r="D4" s="171"/>
      <c r="E4" s="171"/>
      <c r="F4" s="171"/>
      <c r="G4" s="171"/>
      <c r="H4" s="171"/>
      <c r="I4" s="171"/>
      <c r="J4" s="171"/>
      <c r="K4" s="171"/>
      <c r="L4" s="171"/>
      <c r="M4" s="171"/>
      <c r="N4" s="171"/>
      <c r="O4" s="171"/>
    </row>
    <row r="5" spans="1:26" ht="15.75" x14ac:dyDescent="0.25">
      <c r="A5" s="317" t="s">
        <v>152</v>
      </c>
      <c r="B5" s="317"/>
      <c r="C5" s="317"/>
      <c r="E5" s="317" t="s">
        <v>153</v>
      </c>
      <c r="F5" s="317"/>
      <c r="G5" s="317"/>
      <c r="I5" s="317" t="s">
        <v>154</v>
      </c>
      <c r="J5" s="317"/>
      <c r="K5" s="317"/>
      <c r="M5" s="34" t="s">
        <v>155</v>
      </c>
      <c r="N5" s="220"/>
      <c r="O5" s="34"/>
    </row>
    <row r="6" spans="1:26" x14ac:dyDescent="0.25">
      <c r="A6" s="16" t="s">
        <v>156</v>
      </c>
      <c r="B6" s="16" t="s">
        <v>157</v>
      </c>
      <c r="C6" s="16" t="s">
        <v>158</v>
      </c>
      <c r="E6" s="16" t="s">
        <v>156</v>
      </c>
      <c r="F6" s="16" t="s">
        <v>157</v>
      </c>
      <c r="G6" s="16" t="s">
        <v>158</v>
      </c>
      <c r="I6" s="25" t="s">
        <v>159</v>
      </c>
      <c r="J6" s="16" t="s">
        <v>157</v>
      </c>
      <c r="K6" s="16" t="s">
        <v>158</v>
      </c>
      <c r="M6" s="25" t="s">
        <v>160</v>
      </c>
      <c r="N6" s="16" t="s">
        <v>157</v>
      </c>
      <c r="O6" s="16" t="s">
        <v>158</v>
      </c>
    </row>
    <row r="7" spans="1:26" x14ac:dyDescent="0.25">
      <c r="A7" s="17" t="s">
        <v>161</v>
      </c>
      <c r="B7" s="18">
        <v>0</v>
      </c>
      <c r="C7" s="19">
        <f>B7/A3</f>
        <v>0</v>
      </c>
      <c r="E7" s="23" t="s">
        <v>162</v>
      </c>
      <c r="F7" s="18"/>
      <c r="G7" s="19">
        <v>1.4999999999999999E-2</v>
      </c>
      <c r="I7" s="23" t="s">
        <v>163</v>
      </c>
      <c r="J7" s="18">
        <v>113</v>
      </c>
      <c r="K7" s="19">
        <f>J7/A3</f>
        <v>0.90400000000000003</v>
      </c>
      <c r="M7" s="23" t="s">
        <v>164</v>
      </c>
      <c r="N7" s="18">
        <v>2</v>
      </c>
      <c r="O7" s="19">
        <f>N7/A3</f>
        <v>1.6E-2</v>
      </c>
    </row>
    <row r="8" spans="1:26" x14ac:dyDescent="0.25">
      <c r="A8" s="20" t="s">
        <v>165</v>
      </c>
      <c r="B8" s="21">
        <v>15</v>
      </c>
      <c r="C8" s="22">
        <f>B8/A3</f>
        <v>0.12</v>
      </c>
      <c r="E8" s="24" t="s">
        <v>166</v>
      </c>
      <c r="F8" s="21"/>
      <c r="G8" s="19">
        <v>0.125</v>
      </c>
      <c r="I8" s="24" t="s">
        <v>167</v>
      </c>
      <c r="J8" s="21">
        <v>6</v>
      </c>
      <c r="K8" s="19">
        <f>J8/A3</f>
        <v>4.8000000000000001E-2</v>
      </c>
      <c r="M8" s="24" t="s">
        <v>168</v>
      </c>
      <c r="N8" s="21">
        <v>123</v>
      </c>
      <c r="O8" s="22">
        <f>N8/A3</f>
        <v>0.98399999999999999</v>
      </c>
    </row>
    <row r="9" spans="1:26" x14ac:dyDescent="0.25">
      <c r="A9" s="20" t="s">
        <v>169</v>
      </c>
      <c r="B9" s="21">
        <v>36</v>
      </c>
      <c r="C9" s="22">
        <f>B9/A3</f>
        <v>0.28799999999999998</v>
      </c>
      <c r="E9" s="24" t="s">
        <v>170</v>
      </c>
      <c r="F9" s="21"/>
      <c r="G9" s="19">
        <v>0.20499999999999999</v>
      </c>
      <c r="I9" s="24" t="s">
        <v>171</v>
      </c>
      <c r="J9" s="21">
        <v>3</v>
      </c>
      <c r="K9" s="19">
        <f>J9/A3</f>
        <v>2.4E-2</v>
      </c>
    </row>
    <row r="10" spans="1:26" x14ac:dyDescent="0.25">
      <c r="A10" s="20" t="s">
        <v>172</v>
      </c>
      <c r="B10" s="21">
        <v>32</v>
      </c>
      <c r="C10" s="22">
        <f>B10/A3</f>
        <v>0.25600000000000001</v>
      </c>
      <c r="E10" s="24" t="s">
        <v>173</v>
      </c>
      <c r="F10" s="21"/>
      <c r="G10" s="19">
        <v>0.13500000000000001</v>
      </c>
      <c r="I10" s="24" t="s">
        <v>174</v>
      </c>
      <c r="J10" s="21">
        <v>2</v>
      </c>
      <c r="K10" s="19">
        <f>J10/A3</f>
        <v>1.6E-2</v>
      </c>
    </row>
    <row r="11" spans="1:26" x14ac:dyDescent="0.25">
      <c r="A11" s="20" t="s">
        <v>175</v>
      </c>
      <c r="B11" s="21">
        <v>23</v>
      </c>
      <c r="C11" s="22">
        <f>B11/A3</f>
        <v>0.184</v>
      </c>
      <c r="E11" s="24" t="s">
        <v>176</v>
      </c>
      <c r="F11" s="21"/>
      <c r="G11" s="19">
        <v>0.35299999999999998</v>
      </c>
      <c r="I11" s="24" t="s">
        <v>177</v>
      </c>
      <c r="J11" s="21">
        <v>1</v>
      </c>
      <c r="K11" s="19">
        <f>J11/A3</f>
        <v>8.0000000000000002E-3</v>
      </c>
    </row>
    <row r="12" spans="1:26" x14ac:dyDescent="0.25">
      <c r="A12" s="20" t="s">
        <v>178</v>
      </c>
      <c r="B12" s="21">
        <v>15</v>
      </c>
      <c r="C12" s="22">
        <f>B12/A3</f>
        <v>0.12</v>
      </c>
      <c r="E12" s="24" t="s">
        <v>179</v>
      </c>
      <c r="F12" s="21"/>
      <c r="G12" s="19">
        <v>0.154</v>
      </c>
      <c r="I12" s="24" t="s">
        <v>180</v>
      </c>
      <c r="J12" s="21">
        <v>0</v>
      </c>
      <c r="K12" s="19">
        <f>J12/A3</f>
        <v>0</v>
      </c>
    </row>
    <row r="13" spans="1:26" x14ac:dyDescent="0.25">
      <c r="A13" s="20" t="s">
        <v>181</v>
      </c>
      <c r="B13" s="21">
        <v>4</v>
      </c>
      <c r="C13" s="22">
        <f>B13/A3</f>
        <v>3.2000000000000001E-2</v>
      </c>
      <c r="E13" s="24" t="s">
        <v>182</v>
      </c>
      <c r="F13" s="21"/>
      <c r="G13" s="19">
        <v>1.2E-2</v>
      </c>
      <c r="I13" s="24" t="s">
        <v>183</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zoomScaleNormal="100" workbookViewId="0">
      <selection activeCell="U41" sqref="U41"/>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7109375" bestFit="1" customWidth="1"/>
    <col min="19" max="19" width="9.140625" bestFit="1" customWidth="1"/>
    <col min="20" max="20" width="8.7109375" bestFit="1" customWidth="1"/>
    <col min="23" max="23" width="8.710937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42" t="s">
        <v>184</v>
      </c>
      <c r="B1" s="242"/>
      <c r="C1" s="242"/>
      <c r="D1" s="242"/>
      <c r="E1" s="242"/>
      <c r="F1" s="242"/>
      <c r="G1" s="242"/>
      <c r="H1" s="242"/>
      <c r="I1" s="242"/>
      <c r="J1" s="242"/>
      <c r="K1" s="242"/>
      <c r="L1" s="242"/>
      <c r="M1" s="242"/>
      <c r="N1" s="242"/>
      <c r="O1" s="242"/>
      <c r="P1" s="242"/>
      <c r="Q1" s="242"/>
      <c r="R1" s="242"/>
      <c r="S1" s="242"/>
      <c r="T1" s="242"/>
      <c r="U1" s="242"/>
      <c r="V1" s="242"/>
      <c r="W1" s="242"/>
      <c r="X1" s="242"/>
      <c r="Y1" s="242"/>
      <c r="Z1" s="242"/>
    </row>
    <row r="4" spans="1:26" ht="18.75" x14ac:dyDescent="0.3">
      <c r="A4" s="321" t="s">
        <v>185</v>
      </c>
      <c r="B4" s="321"/>
      <c r="C4" s="321"/>
      <c r="D4" s="321"/>
      <c r="E4" s="321"/>
      <c r="F4" s="321"/>
      <c r="G4" s="321"/>
      <c r="H4" s="321"/>
    </row>
    <row r="5" spans="1:26" ht="36" customHeight="1" x14ac:dyDescent="0.25">
      <c r="A5" s="319" t="s">
        <v>186</v>
      </c>
      <c r="B5" s="320" t="s">
        <v>187</v>
      </c>
      <c r="C5" s="320" t="s">
        <v>188</v>
      </c>
      <c r="D5" s="320" t="s">
        <v>189</v>
      </c>
      <c r="E5" s="320" t="s">
        <v>190</v>
      </c>
      <c r="F5" s="320"/>
      <c r="G5" s="320" t="s">
        <v>191</v>
      </c>
      <c r="H5" s="320"/>
      <c r="P5"/>
      <c r="R5" s="10"/>
    </row>
    <row r="6" spans="1:26" ht="15.75" thickBot="1" x14ac:dyDescent="0.3">
      <c r="A6" s="319"/>
      <c r="B6" s="320"/>
      <c r="C6" s="320"/>
      <c r="D6" s="322"/>
      <c r="E6" s="163" t="s">
        <v>192</v>
      </c>
      <c r="F6" s="163" t="s">
        <v>193</v>
      </c>
      <c r="G6" s="163" t="s">
        <v>192</v>
      </c>
      <c r="H6" s="163" t="s">
        <v>193</v>
      </c>
      <c r="P6"/>
      <c r="R6" s="10"/>
    </row>
    <row r="7" spans="1:26" ht="15.75" thickBot="1" x14ac:dyDescent="0.3">
      <c r="A7" s="195" t="s">
        <v>194</v>
      </c>
      <c r="B7" s="196">
        <v>1</v>
      </c>
      <c r="C7" s="197">
        <f>'1A'!B11</f>
        <v>15.19</v>
      </c>
      <c r="D7" s="198" t="s">
        <v>57</v>
      </c>
      <c r="E7" s="199">
        <f t="shared" ref="E7:E12" si="0">W19-B19</f>
        <v>-119</v>
      </c>
      <c r="F7" s="200">
        <f t="shared" ref="F7:F12" si="1">W29</f>
        <v>-0.48770491803278687</v>
      </c>
      <c r="G7" s="201">
        <f t="shared" ref="G7:G12" si="2">S38-B38</f>
        <v>5.91</v>
      </c>
      <c r="H7" s="202">
        <f t="shared" ref="H7:H12" si="3">S48</f>
        <v>0.6368534482758621</v>
      </c>
      <c r="P7"/>
      <c r="R7" s="10"/>
    </row>
    <row r="8" spans="1:26" ht="15.75" thickTop="1" x14ac:dyDescent="0.25">
      <c r="A8" s="178" t="s">
        <v>195</v>
      </c>
      <c r="B8" s="172">
        <v>0.97</v>
      </c>
      <c r="C8" s="185">
        <f>S39</f>
        <v>27.92</v>
      </c>
      <c r="D8" s="204">
        <f>C8-C7</f>
        <v>12.730000000000002</v>
      </c>
      <c r="E8" s="174">
        <f t="shared" si="0"/>
        <v>-53</v>
      </c>
      <c r="F8" s="173">
        <f t="shared" si="1"/>
        <v>-1</v>
      </c>
      <c r="G8" s="176">
        <f>S39-B39</f>
        <v>4.6300000000000026</v>
      </c>
      <c r="H8" s="177">
        <f t="shared" si="3"/>
        <v>0.19879776728209544</v>
      </c>
      <c r="P8"/>
      <c r="R8" s="10"/>
    </row>
    <row r="9" spans="1:26" x14ac:dyDescent="0.25">
      <c r="A9" s="178" t="s">
        <v>196</v>
      </c>
      <c r="B9" s="164">
        <v>0.96</v>
      </c>
      <c r="C9" s="185">
        <f t="shared" ref="C9:C12" si="4">S40</f>
        <v>23.18</v>
      </c>
      <c r="D9" s="204">
        <f>C9-C7</f>
        <v>7.99</v>
      </c>
      <c r="E9" s="174">
        <f t="shared" si="0"/>
        <v>-21</v>
      </c>
      <c r="F9" s="173">
        <f t="shared" si="1"/>
        <v>-0.40384615384615385</v>
      </c>
      <c r="G9" s="175">
        <f t="shared" si="2"/>
        <v>7.1400000000000006</v>
      </c>
      <c r="H9" s="177">
        <f>S50</f>
        <v>0.44513715710723201</v>
      </c>
      <c r="P9"/>
      <c r="R9" s="10"/>
    </row>
    <row r="10" spans="1:26" x14ac:dyDescent="0.25">
      <c r="A10" s="178" t="s">
        <v>197</v>
      </c>
      <c r="B10" s="164">
        <v>0.93</v>
      </c>
      <c r="C10" s="185">
        <f t="shared" si="4"/>
        <v>16.95</v>
      </c>
      <c r="D10" s="210">
        <f>C10-C7</f>
        <v>1.7599999999999998</v>
      </c>
      <c r="E10" s="174">
        <f t="shared" si="0"/>
        <v>-273</v>
      </c>
      <c r="F10" s="173">
        <f t="shared" si="1"/>
        <v>-0.49012567324955114</v>
      </c>
      <c r="G10" s="175">
        <f t="shared" si="2"/>
        <v>6.51</v>
      </c>
      <c r="H10" s="177">
        <f t="shared" si="3"/>
        <v>0.62356321839080464</v>
      </c>
      <c r="P10"/>
      <c r="R10" s="10"/>
    </row>
    <row r="11" spans="1:26" x14ac:dyDescent="0.25">
      <c r="A11" s="178" t="s">
        <v>198</v>
      </c>
      <c r="B11" s="164">
        <v>0.93</v>
      </c>
      <c r="C11" s="185">
        <f t="shared" si="4"/>
        <v>19.55</v>
      </c>
      <c r="D11" s="204">
        <f>C11-C7</f>
        <v>4.3600000000000012</v>
      </c>
      <c r="E11" s="174">
        <f t="shared" si="0"/>
        <v>-11</v>
      </c>
      <c r="F11" s="173">
        <f t="shared" si="1"/>
        <v>-0.52380952380952384</v>
      </c>
      <c r="G11" s="175">
        <f t="shared" si="2"/>
        <v>7.3600000000000012</v>
      </c>
      <c r="H11" s="177">
        <f t="shared" si="3"/>
        <v>0.60377358490566047</v>
      </c>
      <c r="P11"/>
      <c r="R11" s="10"/>
    </row>
    <row r="12" spans="1:26" ht="15.75" thickBot="1" x14ac:dyDescent="0.3">
      <c r="A12" s="179" t="s">
        <v>199</v>
      </c>
      <c r="B12" s="180">
        <v>0.92</v>
      </c>
      <c r="C12" s="186">
        <f t="shared" si="4"/>
        <v>17.739999999999998</v>
      </c>
      <c r="D12" s="205">
        <f>C12-C7</f>
        <v>2.5499999999999989</v>
      </c>
      <c r="E12" s="181">
        <f t="shared" si="0"/>
        <v>-554</v>
      </c>
      <c r="F12" s="182">
        <f t="shared" si="1"/>
        <v>-0.27412172191984169</v>
      </c>
      <c r="G12" s="183">
        <f t="shared" si="2"/>
        <v>6.2999999999999989</v>
      </c>
      <c r="H12" s="184">
        <f t="shared" si="3"/>
        <v>0.55069930069930062</v>
      </c>
      <c r="P12"/>
      <c r="R12" s="10"/>
    </row>
    <row r="13" spans="1:26" x14ac:dyDescent="0.25">
      <c r="A13" s="1"/>
      <c r="B13" s="35"/>
      <c r="C13" s="35"/>
      <c r="D13" s="36"/>
      <c r="G13" s="215">
        <f>G11-G7</f>
        <v>1.4500000000000011</v>
      </c>
    </row>
    <row r="14" spans="1:26" x14ac:dyDescent="0.25">
      <c r="C14" s="222"/>
      <c r="G14" s="215"/>
    </row>
    <row r="15" spans="1:26" x14ac:dyDescent="0.25">
      <c r="G15" s="215"/>
    </row>
    <row r="17" spans="1:26" ht="15.75" x14ac:dyDescent="0.25">
      <c r="A17" s="318" t="s">
        <v>314</v>
      </c>
      <c r="B17" s="318"/>
      <c r="C17" s="318"/>
      <c r="D17" s="318"/>
      <c r="E17" s="318"/>
      <c r="F17" s="318"/>
      <c r="G17" s="318"/>
      <c r="H17" s="318"/>
      <c r="I17" s="318"/>
      <c r="J17" s="318"/>
      <c r="K17" s="318"/>
      <c r="L17" s="318"/>
      <c r="M17" s="318"/>
      <c r="N17" s="318"/>
      <c r="O17" s="318"/>
      <c r="P17" s="318"/>
      <c r="Q17" s="318"/>
      <c r="R17" s="318"/>
      <c r="S17" s="318"/>
      <c r="T17" s="318"/>
      <c r="U17" s="318"/>
      <c r="V17" s="318"/>
      <c r="W17" s="318"/>
    </row>
    <row r="18" spans="1:26" x14ac:dyDescent="0.25">
      <c r="A18" s="189" t="s">
        <v>186</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194</v>
      </c>
      <c r="B19" s="166">
        <v>244</v>
      </c>
      <c r="C19" s="166">
        <v>235</v>
      </c>
      <c r="D19" s="166">
        <v>214</v>
      </c>
      <c r="E19" s="166">
        <v>220</v>
      </c>
      <c r="F19" s="166">
        <v>227</v>
      </c>
      <c r="G19" s="166">
        <v>250</v>
      </c>
      <c r="H19" s="166">
        <v>232</v>
      </c>
      <c r="I19" s="166">
        <v>243</v>
      </c>
      <c r="J19" s="166">
        <v>238</v>
      </c>
      <c r="K19" s="166">
        <v>200</v>
      </c>
      <c r="L19" s="166">
        <v>170</v>
      </c>
      <c r="M19" s="166">
        <v>174</v>
      </c>
      <c r="N19" s="166">
        <v>173</v>
      </c>
      <c r="O19" s="166">
        <v>164</v>
      </c>
      <c r="P19" s="166">
        <v>183</v>
      </c>
      <c r="Q19" s="166">
        <v>191</v>
      </c>
      <c r="R19" s="166">
        <v>196</v>
      </c>
      <c r="S19" s="166">
        <v>145</v>
      </c>
      <c r="T19" s="166">
        <v>150</v>
      </c>
      <c r="U19" s="166">
        <v>124</v>
      </c>
      <c r="V19" s="166">
        <v>131</v>
      </c>
      <c r="W19" s="166">
        <v>125</v>
      </c>
    </row>
    <row r="20" spans="1:26" ht="15.75" thickTop="1" x14ac:dyDescent="0.25">
      <c r="A20" s="143" t="s">
        <v>195</v>
      </c>
      <c r="B20" s="144">
        <v>53</v>
      </c>
      <c r="C20" s="144">
        <v>50</v>
      </c>
      <c r="D20" s="144">
        <v>50</v>
      </c>
      <c r="E20" s="144">
        <v>46</v>
      </c>
      <c r="F20" s="144">
        <v>47</v>
      </c>
      <c r="G20" s="144">
        <v>41</v>
      </c>
      <c r="H20" s="144">
        <v>40</v>
      </c>
      <c r="I20" s="144">
        <v>46</v>
      </c>
      <c r="J20" s="144">
        <v>50</v>
      </c>
      <c r="K20" s="144">
        <v>51</v>
      </c>
      <c r="L20" s="144">
        <v>45</v>
      </c>
      <c r="M20" s="144">
        <v>45</v>
      </c>
      <c r="N20" s="144">
        <v>41</v>
      </c>
      <c r="O20" s="144">
        <v>37</v>
      </c>
      <c r="P20" s="144">
        <v>29</v>
      </c>
      <c r="Q20" s="144">
        <v>23</v>
      </c>
      <c r="R20" s="144">
        <v>19</v>
      </c>
      <c r="S20" s="144">
        <v>18</v>
      </c>
      <c r="T20" s="144">
        <v>18</v>
      </c>
      <c r="U20" s="144">
        <v>0</v>
      </c>
      <c r="V20" s="144">
        <v>0</v>
      </c>
      <c r="W20" s="144">
        <v>0</v>
      </c>
    </row>
    <row r="21" spans="1:26" x14ac:dyDescent="0.25">
      <c r="A21" s="143" t="s">
        <v>196</v>
      </c>
      <c r="B21" s="144">
        <v>52</v>
      </c>
      <c r="C21" s="144">
        <v>52</v>
      </c>
      <c r="D21" s="144">
        <v>52</v>
      </c>
      <c r="E21" s="144">
        <v>53</v>
      </c>
      <c r="F21" s="144">
        <v>60</v>
      </c>
      <c r="G21" s="144">
        <v>59</v>
      </c>
      <c r="H21" s="144">
        <v>54</v>
      </c>
      <c r="I21" s="144">
        <v>28</v>
      </c>
      <c r="J21" s="144">
        <v>22</v>
      </c>
      <c r="K21" s="144">
        <v>23</v>
      </c>
      <c r="L21" s="144">
        <v>24</v>
      </c>
      <c r="M21" s="144">
        <v>21</v>
      </c>
      <c r="N21" s="144">
        <v>20</v>
      </c>
      <c r="O21" s="144">
        <v>21</v>
      </c>
      <c r="P21" s="144">
        <v>20</v>
      </c>
      <c r="Q21" s="144">
        <v>29</v>
      </c>
      <c r="R21" s="144">
        <v>20</v>
      </c>
      <c r="S21" s="144">
        <v>19</v>
      </c>
      <c r="T21" s="144">
        <v>30</v>
      </c>
      <c r="U21" s="144">
        <v>30</v>
      </c>
      <c r="V21" s="144">
        <v>31</v>
      </c>
      <c r="W21" s="144">
        <v>31</v>
      </c>
    </row>
    <row r="22" spans="1:26" x14ac:dyDescent="0.25">
      <c r="A22" s="143" t="s">
        <v>197</v>
      </c>
      <c r="B22" s="144">
        <v>557</v>
      </c>
      <c r="C22" s="144">
        <v>566</v>
      </c>
      <c r="D22" s="144">
        <v>569</v>
      </c>
      <c r="E22" s="144">
        <v>576</v>
      </c>
      <c r="F22" s="144">
        <v>573</v>
      </c>
      <c r="G22" s="144">
        <v>602</v>
      </c>
      <c r="H22" s="144">
        <v>582</v>
      </c>
      <c r="I22" s="144">
        <v>568</v>
      </c>
      <c r="J22" s="144">
        <v>526</v>
      </c>
      <c r="K22" s="144">
        <v>506</v>
      </c>
      <c r="L22" s="144">
        <v>489</v>
      </c>
      <c r="M22" s="144">
        <v>480</v>
      </c>
      <c r="N22" s="144">
        <v>472</v>
      </c>
      <c r="O22" s="144">
        <v>463</v>
      </c>
      <c r="P22" s="144">
        <v>460</v>
      </c>
      <c r="Q22" s="144">
        <v>482</v>
      </c>
      <c r="R22" s="144">
        <v>483</v>
      </c>
      <c r="S22" s="144">
        <v>473</v>
      </c>
      <c r="T22" s="144">
        <v>451</v>
      </c>
      <c r="U22" s="144">
        <v>371</v>
      </c>
      <c r="V22" s="144">
        <v>307</v>
      </c>
      <c r="W22" s="144">
        <v>284</v>
      </c>
    </row>
    <row r="23" spans="1:26" x14ac:dyDescent="0.25">
      <c r="A23" s="143" t="s">
        <v>198</v>
      </c>
      <c r="B23" s="144">
        <v>21</v>
      </c>
      <c r="C23" s="144">
        <v>22</v>
      </c>
      <c r="D23" s="144">
        <v>21</v>
      </c>
      <c r="E23" s="144">
        <v>22</v>
      </c>
      <c r="F23" s="144">
        <v>26</v>
      </c>
      <c r="G23" s="144">
        <v>24</v>
      </c>
      <c r="H23" s="144">
        <v>27</v>
      </c>
      <c r="I23" s="144">
        <v>27</v>
      </c>
      <c r="J23" s="144">
        <v>32</v>
      </c>
      <c r="K23" s="144">
        <v>37</v>
      </c>
      <c r="L23" s="144">
        <v>44</v>
      </c>
      <c r="M23" s="144">
        <v>41</v>
      </c>
      <c r="N23" s="144">
        <v>36</v>
      </c>
      <c r="O23" s="144">
        <v>39</v>
      </c>
      <c r="P23" s="144">
        <v>41</v>
      </c>
      <c r="Q23" s="144">
        <v>35</v>
      </c>
      <c r="R23" s="144">
        <v>34</v>
      </c>
      <c r="S23" s="144">
        <v>35</v>
      </c>
      <c r="T23" s="144">
        <v>22</v>
      </c>
      <c r="U23" s="144">
        <v>10</v>
      </c>
      <c r="V23" s="144">
        <v>10</v>
      </c>
      <c r="W23" s="144">
        <v>10</v>
      </c>
    </row>
    <row r="24" spans="1:26" x14ac:dyDescent="0.25">
      <c r="A24" s="143" t="s">
        <v>199</v>
      </c>
      <c r="B24" s="146">
        <v>2021</v>
      </c>
      <c r="C24" s="146">
        <v>1987</v>
      </c>
      <c r="D24" s="146">
        <v>1934</v>
      </c>
      <c r="E24" s="146">
        <v>1941</v>
      </c>
      <c r="F24" s="146">
        <v>1980</v>
      </c>
      <c r="G24" s="146">
        <v>1947</v>
      </c>
      <c r="H24" s="146">
        <v>1814</v>
      </c>
      <c r="I24" s="146">
        <v>1784</v>
      </c>
      <c r="J24" s="146">
        <v>1705</v>
      </c>
      <c r="K24" s="146">
        <v>1711</v>
      </c>
      <c r="L24" s="146">
        <v>1619</v>
      </c>
      <c r="M24" s="146">
        <v>1522</v>
      </c>
      <c r="N24" s="146">
        <v>1478</v>
      </c>
      <c r="O24" s="146">
        <v>1406</v>
      </c>
      <c r="P24" s="146">
        <v>1396</v>
      </c>
      <c r="Q24" s="146">
        <v>1422</v>
      </c>
      <c r="R24" s="146">
        <v>1431</v>
      </c>
      <c r="S24" s="146">
        <v>1474</v>
      </c>
      <c r="T24" s="146">
        <v>1523</v>
      </c>
      <c r="U24" s="146">
        <v>1555</v>
      </c>
      <c r="V24" s="146">
        <v>1545</v>
      </c>
      <c r="W24" s="146">
        <v>1467</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8" t="s">
        <v>315</v>
      </c>
      <c r="B27" s="318"/>
      <c r="C27" s="318"/>
      <c r="D27" s="318"/>
      <c r="E27" s="318"/>
      <c r="F27" s="318"/>
      <c r="G27" s="318"/>
      <c r="H27" s="318"/>
      <c r="I27" s="318"/>
      <c r="J27" s="318"/>
      <c r="K27" s="318"/>
      <c r="L27" s="318"/>
      <c r="M27" s="318"/>
      <c r="N27" s="318"/>
      <c r="O27" s="318"/>
      <c r="P27" s="318"/>
      <c r="Q27" s="318"/>
      <c r="R27" s="318"/>
      <c r="S27" s="318"/>
      <c r="T27" s="318"/>
      <c r="U27" s="318"/>
      <c r="V27" s="318"/>
      <c r="W27" s="318"/>
    </row>
    <row r="28" spans="1:26" x14ac:dyDescent="0.25">
      <c r="A28" s="189" t="s">
        <v>186</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c r="Y28" s="215" t="s">
        <v>195</v>
      </c>
      <c r="Z28" s="216">
        <v>4.63</v>
      </c>
    </row>
    <row r="29" spans="1:26" ht="15.75" thickBot="1" x14ac:dyDescent="0.3">
      <c r="A29" s="165" t="s">
        <v>194</v>
      </c>
      <c r="B29" s="167">
        <f t="shared" ref="B29:B34" si="5">(B19-B19)/B19</f>
        <v>0</v>
      </c>
      <c r="C29" s="167">
        <f t="shared" ref="C29:C34" si="6">(C19-B19)/B19</f>
        <v>-3.6885245901639344E-2</v>
      </c>
      <c r="D29" s="167">
        <f t="shared" ref="D29:D34" si="7">(D19-B19)/B19</f>
        <v>-0.12295081967213115</v>
      </c>
      <c r="E29" s="167">
        <f t="shared" ref="E29:E34" si="8">(E19-B19)/B19</f>
        <v>-9.8360655737704916E-2</v>
      </c>
      <c r="F29" s="167">
        <f t="shared" ref="F29:F34" si="9">(F19-B19)/B19</f>
        <v>-6.9672131147540978E-2</v>
      </c>
      <c r="G29" s="167">
        <f t="shared" ref="G29:G34" si="10">(G19-B19)/B19</f>
        <v>2.4590163934426229E-2</v>
      </c>
      <c r="H29" s="167">
        <f t="shared" ref="H29:H34" si="11">(H19-B19)/B19</f>
        <v>-4.9180327868852458E-2</v>
      </c>
      <c r="I29" s="167">
        <f t="shared" ref="I29:I34" si="12">(I19-B19)/B19</f>
        <v>-4.0983606557377051E-3</v>
      </c>
      <c r="J29" s="167">
        <f t="shared" ref="J29:J34" si="13">(J19-B19)/B19</f>
        <v>-2.4590163934426229E-2</v>
      </c>
      <c r="K29" s="167">
        <f t="shared" ref="K29:K34" si="14">(K19-B19)/B19</f>
        <v>-0.18032786885245902</v>
      </c>
      <c r="L29" s="167">
        <f t="shared" ref="L29:L34" si="15">(L19-B19)/B19</f>
        <v>-0.30327868852459017</v>
      </c>
      <c r="M29" s="167">
        <f t="shared" ref="M29:M34" si="16">(M19-B19)/B19</f>
        <v>-0.28688524590163933</v>
      </c>
      <c r="N29" s="167">
        <f t="shared" ref="N29:N34" si="17">(N19-B19)/B19</f>
        <v>-0.29098360655737704</v>
      </c>
      <c r="O29" s="167">
        <f>(O19-B19)/B19</f>
        <v>-0.32786885245901637</v>
      </c>
      <c r="P29" s="167">
        <f t="shared" ref="P29:P34" si="18">(P19-B19)/B19</f>
        <v>-0.25</v>
      </c>
      <c r="Q29" s="167">
        <f t="shared" ref="Q29:Q34" si="19">(Q19-B19)/B19</f>
        <v>-0.21721311475409835</v>
      </c>
      <c r="R29" s="167">
        <f t="shared" ref="R29:R34" si="20">(R19-B19)/B19</f>
        <v>-0.19672131147540983</v>
      </c>
      <c r="S29" s="167">
        <f t="shared" ref="S29:S34" si="21">(S19-B19)/B19</f>
        <v>-0.40573770491803279</v>
      </c>
      <c r="T29" s="167">
        <f t="shared" ref="T29:T34" si="22">(T19-B19)/B19</f>
        <v>-0.38524590163934425</v>
      </c>
      <c r="U29" s="167">
        <f t="shared" ref="U29:U34" si="23">(U19-B19)/B19</f>
        <v>-0.49180327868852458</v>
      </c>
      <c r="V29" s="167">
        <f t="shared" ref="V29:V34" si="24">(V19-B19)/B19</f>
        <v>-0.46311475409836067</v>
      </c>
      <c r="W29" s="167">
        <f t="shared" ref="W29:W34" si="25">(W19-B19)/B19</f>
        <v>-0.48770491803278687</v>
      </c>
      <c r="Y29" s="215" t="s">
        <v>194</v>
      </c>
      <c r="Z29" s="175">
        <v>5.91</v>
      </c>
    </row>
    <row r="30" spans="1:26" ht="16.5" thickTop="1" thickBot="1" x14ac:dyDescent="0.3">
      <c r="A30" s="143" t="s">
        <v>195</v>
      </c>
      <c r="B30" s="147">
        <f t="shared" si="5"/>
        <v>0</v>
      </c>
      <c r="C30" s="147">
        <f t="shared" si="6"/>
        <v>-5.6603773584905662E-2</v>
      </c>
      <c r="D30" s="147">
        <f t="shared" si="7"/>
        <v>-5.6603773584905662E-2</v>
      </c>
      <c r="E30" s="147">
        <f t="shared" si="8"/>
        <v>-0.13207547169811321</v>
      </c>
      <c r="F30" s="147">
        <f t="shared" si="9"/>
        <v>-0.11320754716981132</v>
      </c>
      <c r="G30" s="147">
        <f t="shared" si="10"/>
        <v>-0.22641509433962265</v>
      </c>
      <c r="H30" s="147">
        <f t="shared" si="11"/>
        <v>-0.24528301886792453</v>
      </c>
      <c r="I30" s="147">
        <f t="shared" si="12"/>
        <v>-0.13207547169811321</v>
      </c>
      <c r="J30" s="147">
        <f t="shared" si="13"/>
        <v>-5.6603773584905662E-2</v>
      </c>
      <c r="K30" s="147">
        <f t="shared" si="14"/>
        <v>-3.7735849056603772E-2</v>
      </c>
      <c r="L30" s="147">
        <f t="shared" si="15"/>
        <v>-0.15094339622641509</v>
      </c>
      <c r="M30" s="147">
        <f t="shared" si="16"/>
        <v>-0.15094339622641509</v>
      </c>
      <c r="N30" s="147">
        <f t="shared" si="17"/>
        <v>-0.22641509433962265</v>
      </c>
      <c r="O30" s="147">
        <f t="shared" ref="O30:O34" si="26">(O20-B20)/B20</f>
        <v>-0.30188679245283018</v>
      </c>
      <c r="P30" s="147">
        <f t="shared" si="18"/>
        <v>-0.45283018867924529</v>
      </c>
      <c r="Q30" s="147">
        <f t="shared" si="19"/>
        <v>-0.56603773584905659</v>
      </c>
      <c r="R30" s="147">
        <f t="shared" si="20"/>
        <v>-0.64150943396226412</v>
      </c>
      <c r="S30" s="147">
        <f t="shared" si="21"/>
        <v>-0.660377358490566</v>
      </c>
      <c r="T30" s="147">
        <f t="shared" si="22"/>
        <v>-0.660377358490566</v>
      </c>
      <c r="U30" s="147">
        <f t="shared" si="23"/>
        <v>-1</v>
      </c>
      <c r="V30" s="147">
        <f t="shared" si="24"/>
        <v>-1</v>
      </c>
      <c r="W30" s="147">
        <f t="shared" si="25"/>
        <v>-1</v>
      </c>
      <c r="Y30" s="215" t="s">
        <v>199</v>
      </c>
      <c r="Z30" s="216">
        <v>6.2999999999999989</v>
      </c>
    </row>
    <row r="31" spans="1:26" ht="15.75" thickBot="1" x14ac:dyDescent="0.3">
      <c r="A31" s="143" t="s">
        <v>196</v>
      </c>
      <c r="B31" s="147">
        <f t="shared" si="5"/>
        <v>0</v>
      </c>
      <c r="C31" s="147">
        <f t="shared" si="6"/>
        <v>0</v>
      </c>
      <c r="D31" s="147">
        <f t="shared" si="7"/>
        <v>0</v>
      </c>
      <c r="E31" s="147">
        <f t="shared" si="8"/>
        <v>1.9230769230769232E-2</v>
      </c>
      <c r="F31" s="147">
        <f t="shared" si="9"/>
        <v>0.15384615384615385</v>
      </c>
      <c r="G31" s="147">
        <f t="shared" si="10"/>
        <v>0.13461538461538461</v>
      </c>
      <c r="H31" s="147">
        <f t="shared" si="11"/>
        <v>3.8461538461538464E-2</v>
      </c>
      <c r="I31" s="147">
        <f t="shared" si="12"/>
        <v>-0.46153846153846156</v>
      </c>
      <c r="J31" s="147">
        <f t="shared" si="13"/>
        <v>-0.57692307692307687</v>
      </c>
      <c r="K31" s="147">
        <f t="shared" si="14"/>
        <v>-0.55769230769230771</v>
      </c>
      <c r="L31" s="147">
        <f t="shared" si="15"/>
        <v>-0.53846153846153844</v>
      </c>
      <c r="M31" s="147">
        <f t="shared" si="16"/>
        <v>-0.59615384615384615</v>
      </c>
      <c r="N31" s="147">
        <f t="shared" si="17"/>
        <v>-0.61538461538461542</v>
      </c>
      <c r="O31" s="147">
        <f t="shared" si="26"/>
        <v>-0.59615384615384615</v>
      </c>
      <c r="P31" s="147">
        <f t="shared" si="18"/>
        <v>-0.61538461538461542</v>
      </c>
      <c r="Q31" s="147">
        <f t="shared" si="19"/>
        <v>-0.44230769230769229</v>
      </c>
      <c r="R31" s="147">
        <f t="shared" si="20"/>
        <v>-0.61538461538461542</v>
      </c>
      <c r="S31" s="147">
        <f t="shared" si="21"/>
        <v>-0.63461538461538458</v>
      </c>
      <c r="T31" s="147">
        <f t="shared" si="22"/>
        <v>-0.42307692307692307</v>
      </c>
      <c r="U31" s="147">
        <f t="shared" si="23"/>
        <v>-0.42307692307692307</v>
      </c>
      <c r="V31" s="147">
        <f t="shared" si="24"/>
        <v>-0.40384615384615385</v>
      </c>
      <c r="W31" s="147">
        <f t="shared" si="25"/>
        <v>-0.40384615384615385</v>
      </c>
      <c r="Y31" s="215" t="s">
        <v>197</v>
      </c>
      <c r="Z31" s="221">
        <v>6.51</v>
      </c>
    </row>
    <row r="32" spans="1:26" ht="15.75" thickTop="1" x14ac:dyDescent="0.25">
      <c r="A32" s="143" t="s">
        <v>197</v>
      </c>
      <c r="B32" s="147">
        <f t="shared" si="5"/>
        <v>0</v>
      </c>
      <c r="C32" s="147">
        <f t="shared" si="6"/>
        <v>1.615798922800718E-2</v>
      </c>
      <c r="D32" s="147">
        <f t="shared" si="7"/>
        <v>2.1543985637342909E-2</v>
      </c>
      <c r="E32" s="147">
        <f t="shared" si="8"/>
        <v>3.4111310592459608E-2</v>
      </c>
      <c r="F32" s="147">
        <f t="shared" si="9"/>
        <v>2.8725314183123879E-2</v>
      </c>
      <c r="G32" s="147">
        <f t="shared" si="10"/>
        <v>8.0789946140035901E-2</v>
      </c>
      <c r="H32" s="147">
        <f t="shared" si="11"/>
        <v>4.4883303411131059E-2</v>
      </c>
      <c r="I32" s="147">
        <f t="shared" si="12"/>
        <v>1.9748653500897665E-2</v>
      </c>
      <c r="J32" s="147">
        <f t="shared" si="13"/>
        <v>-5.565529622980251E-2</v>
      </c>
      <c r="K32" s="147">
        <f t="shared" si="14"/>
        <v>-9.1561938958707359E-2</v>
      </c>
      <c r="L32" s="147">
        <f t="shared" si="15"/>
        <v>-0.12208258527827648</v>
      </c>
      <c r="M32" s="147">
        <f t="shared" si="16"/>
        <v>-0.13824057450628366</v>
      </c>
      <c r="N32" s="147">
        <f t="shared" si="17"/>
        <v>-0.15260323159784561</v>
      </c>
      <c r="O32" s="147">
        <f t="shared" si="26"/>
        <v>-0.16876122082585279</v>
      </c>
      <c r="P32" s="147">
        <f t="shared" si="18"/>
        <v>-0.1741472172351885</v>
      </c>
      <c r="Q32" s="147">
        <f t="shared" si="19"/>
        <v>-0.13464991023339318</v>
      </c>
      <c r="R32" s="147">
        <f t="shared" si="20"/>
        <v>-0.13285457809694792</v>
      </c>
      <c r="S32" s="147">
        <f t="shared" si="21"/>
        <v>-0.15080789946140036</v>
      </c>
      <c r="T32" s="147">
        <f t="shared" si="22"/>
        <v>-0.19030520646319568</v>
      </c>
      <c r="U32" s="147">
        <f t="shared" si="23"/>
        <v>-0.33393177737881508</v>
      </c>
      <c r="V32" s="147">
        <f t="shared" si="24"/>
        <v>-0.44883303411131059</v>
      </c>
      <c r="W32" s="147">
        <f t="shared" si="25"/>
        <v>-0.49012567324955114</v>
      </c>
      <c r="Y32" s="215" t="s">
        <v>196</v>
      </c>
      <c r="Z32" s="216">
        <v>7.1400000000000006</v>
      </c>
    </row>
    <row r="33" spans="1:26" x14ac:dyDescent="0.25">
      <c r="A33" s="143" t="s">
        <v>198</v>
      </c>
      <c r="B33" s="147">
        <f t="shared" si="5"/>
        <v>0</v>
      </c>
      <c r="C33" s="147">
        <f t="shared" si="6"/>
        <v>4.7619047619047616E-2</v>
      </c>
      <c r="D33" s="147">
        <f t="shared" si="7"/>
        <v>0</v>
      </c>
      <c r="E33" s="147">
        <f t="shared" si="8"/>
        <v>4.7619047619047616E-2</v>
      </c>
      <c r="F33" s="147">
        <f t="shared" si="9"/>
        <v>0.23809523809523808</v>
      </c>
      <c r="G33" s="147">
        <f t="shared" si="10"/>
        <v>0.14285714285714285</v>
      </c>
      <c r="H33" s="147">
        <f t="shared" si="11"/>
        <v>0.2857142857142857</v>
      </c>
      <c r="I33" s="147">
        <f t="shared" si="12"/>
        <v>0.2857142857142857</v>
      </c>
      <c r="J33" s="147">
        <f t="shared" si="13"/>
        <v>0.52380952380952384</v>
      </c>
      <c r="K33" s="147">
        <f t="shared" si="14"/>
        <v>0.76190476190476186</v>
      </c>
      <c r="L33" s="147">
        <f t="shared" si="15"/>
        <v>1.0952380952380953</v>
      </c>
      <c r="M33" s="147">
        <f t="shared" si="16"/>
        <v>0.95238095238095233</v>
      </c>
      <c r="N33" s="147">
        <f t="shared" si="17"/>
        <v>0.7142857142857143</v>
      </c>
      <c r="O33" s="147">
        <f t="shared" si="26"/>
        <v>0.8571428571428571</v>
      </c>
      <c r="P33" s="147">
        <f t="shared" si="18"/>
        <v>0.95238095238095233</v>
      </c>
      <c r="Q33" s="147">
        <f t="shared" si="19"/>
        <v>0.66666666666666663</v>
      </c>
      <c r="R33" s="147">
        <f t="shared" si="20"/>
        <v>0.61904761904761907</v>
      </c>
      <c r="S33" s="147">
        <f t="shared" si="21"/>
        <v>0.66666666666666663</v>
      </c>
      <c r="T33" s="147">
        <f t="shared" si="22"/>
        <v>4.7619047619047616E-2</v>
      </c>
      <c r="U33" s="147">
        <f t="shared" si="23"/>
        <v>-0.52380952380952384</v>
      </c>
      <c r="V33" s="147">
        <f t="shared" si="24"/>
        <v>-0.52380952380952384</v>
      </c>
      <c r="W33" s="147">
        <f t="shared" si="25"/>
        <v>-0.52380952380952384</v>
      </c>
      <c r="Y33" s="215" t="s">
        <v>198</v>
      </c>
      <c r="Z33" s="216">
        <v>7.3600000000000012</v>
      </c>
    </row>
    <row r="34" spans="1:26" x14ac:dyDescent="0.25">
      <c r="A34" s="143" t="s">
        <v>199</v>
      </c>
      <c r="B34" s="147">
        <f t="shared" si="5"/>
        <v>0</v>
      </c>
      <c r="C34" s="147">
        <f t="shared" si="6"/>
        <v>-1.6823354774863929E-2</v>
      </c>
      <c r="D34" s="147">
        <f t="shared" si="7"/>
        <v>-4.3047996041563584E-2</v>
      </c>
      <c r="E34" s="147">
        <f t="shared" si="8"/>
        <v>-3.9584364176150418E-2</v>
      </c>
      <c r="F34" s="147">
        <f t="shared" si="9"/>
        <v>-2.0286986640277092E-2</v>
      </c>
      <c r="G34" s="147">
        <f t="shared" si="10"/>
        <v>-3.6615536862939141E-2</v>
      </c>
      <c r="H34" s="147">
        <f t="shared" si="11"/>
        <v>-0.10242454230578921</v>
      </c>
      <c r="I34" s="147">
        <f t="shared" si="12"/>
        <v>-0.11726867887184562</v>
      </c>
      <c r="J34" s="147">
        <f t="shared" si="13"/>
        <v>-0.15635823849579417</v>
      </c>
      <c r="K34" s="147">
        <f t="shared" si="14"/>
        <v>-0.15338941118258287</v>
      </c>
      <c r="L34" s="147">
        <f t="shared" si="15"/>
        <v>-0.19891142998515587</v>
      </c>
      <c r="M34" s="147">
        <f t="shared" si="16"/>
        <v>-0.24690747154873824</v>
      </c>
      <c r="N34" s="147">
        <f t="shared" si="17"/>
        <v>-0.268678871845621</v>
      </c>
      <c r="O34" s="147">
        <f t="shared" si="26"/>
        <v>-0.30430479960415635</v>
      </c>
      <c r="P34" s="147">
        <f t="shared" si="18"/>
        <v>-0.30925284512617518</v>
      </c>
      <c r="Q34" s="147">
        <f t="shared" si="19"/>
        <v>-0.29638792676892628</v>
      </c>
      <c r="R34" s="147">
        <f t="shared" si="20"/>
        <v>-0.29193468579910936</v>
      </c>
      <c r="S34" s="147">
        <f t="shared" si="21"/>
        <v>-0.27065809005442848</v>
      </c>
      <c r="T34" s="147">
        <f t="shared" si="22"/>
        <v>-0.24641266699653636</v>
      </c>
      <c r="U34" s="147">
        <f t="shared" si="23"/>
        <v>-0.23057892132607619</v>
      </c>
      <c r="V34" s="147">
        <f t="shared" si="24"/>
        <v>-0.23552696684809502</v>
      </c>
      <c r="W34" s="147">
        <f t="shared" si="25"/>
        <v>-0.27412172191984169</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8" t="s">
        <v>316</v>
      </c>
      <c r="B36" s="318"/>
      <c r="C36" s="318"/>
      <c r="D36" s="318"/>
      <c r="E36" s="318"/>
      <c r="F36" s="318"/>
      <c r="G36" s="318"/>
      <c r="H36" s="318"/>
      <c r="I36" s="318"/>
      <c r="J36" s="318"/>
      <c r="K36" s="318"/>
      <c r="L36" s="318"/>
      <c r="M36" s="318"/>
      <c r="N36" s="318"/>
      <c r="O36" s="318"/>
      <c r="P36" s="318"/>
      <c r="Q36" s="318"/>
      <c r="R36" s="318"/>
      <c r="S36" s="318"/>
    </row>
    <row r="37" spans="1:26" x14ac:dyDescent="0.25">
      <c r="A37" s="189" t="s">
        <v>186</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194</v>
      </c>
      <c r="B38" s="168">
        <v>9.2799999999999994</v>
      </c>
      <c r="C38" s="168">
        <v>17.41</v>
      </c>
      <c r="D38" s="168">
        <v>16.04</v>
      </c>
      <c r="E38" s="168">
        <v>8.5500000000000007</v>
      </c>
      <c r="F38" s="168">
        <v>8.8000000000000007</v>
      </c>
      <c r="G38" s="168">
        <v>10.220000000000001</v>
      </c>
      <c r="H38" s="168">
        <v>12</v>
      </c>
      <c r="I38" s="168">
        <v>16.190000000000001</v>
      </c>
      <c r="J38" s="168">
        <v>16.739999999999998</v>
      </c>
      <c r="K38" s="168">
        <v>16.309999999999999</v>
      </c>
      <c r="L38" s="168">
        <v>18.45</v>
      </c>
      <c r="M38" s="168">
        <v>17.12</v>
      </c>
      <c r="N38" s="168">
        <v>18.2</v>
      </c>
      <c r="O38" s="168">
        <v>16.47</v>
      </c>
      <c r="P38" s="168">
        <v>17.46</v>
      </c>
      <c r="Q38" s="168">
        <v>17.3</v>
      </c>
      <c r="R38" s="168">
        <v>14.38</v>
      </c>
      <c r="S38" s="169">
        <v>15.19</v>
      </c>
      <c r="T38" s="214">
        <f>S38-(B38*1.4985)</f>
        <v>1.2839200000000002</v>
      </c>
      <c r="U38" s="223">
        <f>T38/B38</f>
        <v>0.1383534482758621</v>
      </c>
    </row>
    <row r="39" spans="1:26" ht="15.75" thickTop="1" x14ac:dyDescent="0.25">
      <c r="A39" s="143" t="s">
        <v>195</v>
      </c>
      <c r="B39" s="150">
        <v>23.29</v>
      </c>
      <c r="C39" s="150">
        <v>25.09</v>
      </c>
      <c r="D39" s="150">
        <v>26.03</v>
      </c>
      <c r="E39" s="150">
        <v>26.49</v>
      </c>
      <c r="F39" s="150">
        <v>25.92</v>
      </c>
      <c r="G39" s="150">
        <v>26.2</v>
      </c>
      <c r="H39" s="150">
        <v>24.02</v>
      </c>
      <c r="I39" s="150">
        <v>24.87</v>
      </c>
      <c r="J39" s="150">
        <v>26.44</v>
      </c>
      <c r="K39" s="150">
        <v>27.69</v>
      </c>
      <c r="L39" s="150">
        <v>27.17</v>
      </c>
      <c r="M39" s="150">
        <v>27.82</v>
      </c>
      <c r="N39" s="150">
        <v>30.61</v>
      </c>
      <c r="O39" s="150">
        <v>30.7</v>
      </c>
      <c r="P39" s="150">
        <v>27.92</v>
      </c>
      <c r="Q39" s="150">
        <v>27.92</v>
      </c>
      <c r="R39" s="150">
        <v>27.92</v>
      </c>
      <c r="S39" s="151">
        <v>27.92</v>
      </c>
      <c r="T39" s="214">
        <f t="shared" ref="T39:T43" si="27">S39-(B39*1.4985)</f>
        <v>-6.9800649999999962</v>
      </c>
      <c r="U39" s="223">
        <f>T39/B39</f>
        <v>-0.29970223271790453</v>
      </c>
    </row>
    <row r="40" spans="1:26" x14ac:dyDescent="0.25">
      <c r="A40" s="143" t="s">
        <v>196</v>
      </c>
      <c r="B40" s="150">
        <v>16.04</v>
      </c>
      <c r="C40" s="150">
        <v>12.28</v>
      </c>
      <c r="D40" s="150">
        <v>11.95</v>
      </c>
      <c r="E40" s="150">
        <v>12.33</v>
      </c>
      <c r="F40" s="150">
        <v>13.83</v>
      </c>
      <c r="G40" s="150">
        <v>10.07</v>
      </c>
      <c r="H40" s="150">
        <v>8.83</v>
      </c>
      <c r="I40" s="150">
        <v>12.01</v>
      </c>
      <c r="J40" s="150">
        <v>13.48</v>
      </c>
      <c r="K40" s="150">
        <v>16.260000000000002</v>
      </c>
      <c r="L40" s="150">
        <v>12.83</v>
      </c>
      <c r="M40" s="150">
        <v>11.06</v>
      </c>
      <c r="N40" s="150">
        <v>10.82</v>
      </c>
      <c r="O40" s="150">
        <v>12.97</v>
      </c>
      <c r="P40" s="150">
        <v>13.41</v>
      </c>
      <c r="Q40" s="150">
        <v>13.14</v>
      </c>
      <c r="R40" s="150">
        <v>16.920000000000002</v>
      </c>
      <c r="S40" s="151">
        <v>23.18</v>
      </c>
      <c r="T40" s="214">
        <f t="shared" si="27"/>
        <v>-0.85593999999999681</v>
      </c>
      <c r="U40" s="223">
        <f t="shared" ref="U40:U43" si="28">T40/B40</f>
        <v>-5.3362842892767881E-2</v>
      </c>
    </row>
    <row r="41" spans="1:26" x14ac:dyDescent="0.25">
      <c r="A41" s="143" t="s">
        <v>197</v>
      </c>
      <c r="B41" s="150">
        <v>10.44</v>
      </c>
      <c r="C41" s="150">
        <v>10.63</v>
      </c>
      <c r="D41" s="150">
        <v>11.12</v>
      </c>
      <c r="E41" s="150">
        <v>11.55</v>
      </c>
      <c r="F41" s="150">
        <v>10.97</v>
      </c>
      <c r="G41" s="150">
        <v>10.97</v>
      </c>
      <c r="H41" s="150">
        <v>10.94</v>
      </c>
      <c r="I41" s="150">
        <v>11.2</v>
      </c>
      <c r="J41" s="150">
        <v>10.8</v>
      </c>
      <c r="K41" s="150">
        <v>10.63</v>
      </c>
      <c r="L41" s="150">
        <v>10.95</v>
      </c>
      <c r="M41" s="150">
        <v>11.45</v>
      </c>
      <c r="N41" s="150">
        <v>11.65</v>
      </c>
      <c r="O41" s="150">
        <v>12.07</v>
      </c>
      <c r="P41" s="150">
        <v>13.35</v>
      </c>
      <c r="Q41" s="150">
        <v>13.24</v>
      </c>
      <c r="R41" s="150">
        <v>15.42</v>
      </c>
      <c r="S41" s="151">
        <v>16.95</v>
      </c>
      <c r="T41" s="214">
        <f t="shared" si="27"/>
        <v>1.3056600000000014</v>
      </c>
      <c r="U41" s="223">
        <f t="shared" si="28"/>
        <v>0.12506321839080473</v>
      </c>
    </row>
    <row r="42" spans="1:26" x14ac:dyDescent="0.25">
      <c r="A42" s="143" t="s">
        <v>198</v>
      </c>
      <c r="B42" s="150">
        <v>12.19</v>
      </c>
      <c r="C42" s="150">
        <v>15.24</v>
      </c>
      <c r="D42" s="150">
        <v>16.510000000000002</v>
      </c>
      <c r="E42" s="150">
        <v>15.94</v>
      </c>
      <c r="F42" s="150">
        <v>18.7</v>
      </c>
      <c r="G42" s="150">
        <v>15.95</v>
      </c>
      <c r="H42" s="150">
        <v>15.55</v>
      </c>
      <c r="I42" s="150">
        <v>15.81</v>
      </c>
      <c r="J42" s="150">
        <v>15.8</v>
      </c>
      <c r="K42" s="150">
        <v>14</v>
      </c>
      <c r="L42" s="150">
        <v>13.39</v>
      </c>
      <c r="M42" s="150">
        <v>16.14</v>
      </c>
      <c r="N42" s="150">
        <v>17.23</v>
      </c>
      <c r="O42" s="150">
        <v>17.04</v>
      </c>
      <c r="P42" s="150">
        <v>19.55</v>
      </c>
      <c r="Q42" s="150">
        <v>19.55</v>
      </c>
      <c r="R42" s="150">
        <v>19.55</v>
      </c>
      <c r="S42" s="151">
        <v>19.55</v>
      </c>
      <c r="T42" s="214">
        <f t="shared" si="27"/>
        <v>1.2832850000000029</v>
      </c>
      <c r="U42" s="223">
        <f t="shared" si="28"/>
        <v>0.10527358490566062</v>
      </c>
    </row>
    <row r="43" spans="1:26" x14ac:dyDescent="0.25">
      <c r="A43" s="143" t="s">
        <v>199</v>
      </c>
      <c r="B43" s="150">
        <v>11.44</v>
      </c>
      <c r="C43" s="150">
        <v>10.69</v>
      </c>
      <c r="D43" s="150">
        <v>11.17</v>
      </c>
      <c r="E43" s="150">
        <v>11.24</v>
      </c>
      <c r="F43" s="150">
        <v>10.92</v>
      </c>
      <c r="G43" s="150">
        <v>11.25</v>
      </c>
      <c r="H43" s="150">
        <v>11.87</v>
      </c>
      <c r="I43" s="150">
        <v>12.16</v>
      </c>
      <c r="J43" s="150">
        <v>12.22</v>
      </c>
      <c r="K43" s="150">
        <v>12.29</v>
      </c>
      <c r="L43" s="150">
        <v>12.59</v>
      </c>
      <c r="M43" s="150">
        <v>13.22</v>
      </c>
      <c r="N43" s="150">
        <v>13.03</v>
      </c>
      <c r="O43" s="150">
        <v>14.24</v>
      </c>
      <c r="P43" s="150">
        <v>14.34</v>
      </c>
      <c r="Q43" s="150">
        <v>16</v>
      </c>
      <c r="R43" s="150">
        <v>17.600000000000001</v>
      </c>
      <c r="S43" s="151">
        <v>17.739999999999998</v>
      </c>
      <c r="T43" s="214">
        <f t="shared" si="27"/>
        <v>0.5971599999999988</v>
      </c>
      <c r="U43" s="223">
        <f t="shared" si="28"/>
        <v>5.2199300699300594E-2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8" t="s">
        <v>317</v>
      </c>
      <c r="B46" s="318"/>
      <c r="C46" s="318"/>
      <c r="D46" s="318"/>
      <c r="E46" s="318"/>
      <c r="F46" s="318"/>
      <c r="G46" s="318"/>
      <c r="H46" s="318"/>
      <c r="I46" s="318"/>
      <c r="J46" s="318"/>
      <c r="K46" s="318"/>
      <c r="L46" s="318"/>
      <c r="M46" s="318"/>
      <c r="N46" s="318"/>
      <c r="O46" s="318"/>
      <c r="P46" s="318"/>
      <c r="Q46" s="318"/>
      <c r="R46" s="318"/>
      <c r="S46" s="318"/>
    </row>
    <row r="47" spans="1:26" x14ac:dyDescent="0.25">
      <c r="A47" s="189" t="s">
        <v>186</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194</v>
      </c>
      <c r="B48" s="167">
        <f t="shared" ref="B48:B53" si="29">(B38-B38)/B38</f>
        <v>0</v>
      </c>
      <c r="C48" s="167">
        <f t="shared" ref="C48:C53" si="30">(C38-B38)/B38</f>
        <v>0.87607758620689669</v>
      </c>
      <c r="D48" s="167">
        <f t="shared" ref="D48:D53" si="31">(D38-B38)/B38</f>
        <v>0.72844827586206895</v>
      </c>
      <c r="E48" s="167">
        <f t="shared" ref="E48:E53" si="32">(E38-B38)/B38</f>
        <v>-7.8663793103448135E-2</v>
      </c>
      <c r="F48" s="167">
        <f t="shared" ref="F48:F53" si="33">(F38-B38)/B38</f>
        <v>-5.1724137931034343E-2</v>
      </c>
      <c r="G48" s="167">
        <f t="shared" ref="G48:G53" si="34">(G38-B38)/B38</f>
        <v>0.10129310344827601</v>
      </c>
      <c r="H48" s="167">
        <f t="shared" ref="H48:H53" si="35">(H38-B38)/B38</f>
        <v>0.29310344827586216</v>
      </c>
      <c r="I48" s="167">
        <f t="shared" ref="I48:I53" si="36">(I38-B38)/B38</f>
        <v>0.74461206896551746</v>
      </c>
      <c r="J48" s="167">
        <f t="shared" ref="J48:J53" si="37">(J38-B38)/B38</f>
        <v>0.80387931034482751</v>
      </c>
      <c r="K48" s="167">
        <f t="shared" ref="K48:K53" si="38">(K38-B38)/B38</f>
        <v>0.7575431034482758</v>
      </c>
      <c r="L48" s="167">
        <f t="shared" ref="L48:L53" si="39">(L38-B38)/B38</f>
        <v>0.98814655172413801</v>
      </c>
      <c r="M48" s="167">
        <f t="shared" ref="M48:M53" si="40">(M38-B38)/B38</f>
        <v>0.8448275862068968</v>
      </c>
      <c r="N48" s="167">
        <f t="shared" ref="N48:N53" si="41">(N38-B38)/B38</f>
        <v>0.9612068965517242</v>
      </c>
      <c r="O48" s="167">
        <f t="shared" ref="O48:O53" si="42">(O38-B38)/B38</f>
        <v>0.77478448275862066</v>
      </c>
      <c r="P48" s="167">
        <f t="shared" ref="P48:P53" si="43">(P38-B38)/B38</f>
        <v>0.88146551724137956</v>
      </c>
      <c r="Q48" s="167">
        <f t="shared" ref="Q48:Q53" si="44">(Q38-B38)/B38</f>
        <v>0.8642241379310347</v>
      </c>
      <c r="R48" s="167">
        <f t="shared" ref="R48:R53" si="45">(R38-B38)/B38</f>
        <v>0.54956896551724155</v>
      </c>
      <c r="S48" s="167">
        <f t="shared" ref="S48:S53" si="46">(S38-B38)/B38</f>
        <v>0.6368534482758621</v>
      </c>
    </row>
    <row r="49" spans="1:19" ht="15.75" thickTop="1" x14ac:dyDescent="0.25">
      <c r="A49" s="143" t="s">
        <v>195</v>
      </c>
      <c r="B49" s="147">
        <f t="shared" si="29"/>
        <v>0</v>
      </c>
      <c r="C49" s="147">
        <f t="shared" si="30"/>
        <v>7.7286389008158041E-2</v>
      </c>
      <c r="D49" s="147">
        <f t="shared" si="31"/>
        <v>0.11764705882352951</v>
      </c>
      <c r="E49" s="147">
        <f t="shared" si="32"/>
        <v>0.13739802490339198</v>
      </c>
      <c r="F49" s="147">
        <f t="shared" si="33"/>
        <v>0.11292400171747542</v>
      </c>
      <c r="G49" s="147">
        <f t="shared" si="34"/>
        <v>0.12494632889652213</v>
      </c>
      <c r="H49" s="147">
        <f t="shared" si="35"/>
        <v>3.1343924431086322E-2</v>
      </c>
      <c r="I49" s="147">
        <f t="shared" si="36"/>
        <v>6.7840274796049885E-2</v>
      </c>
      <c r="J49" s="147">
        <f t="shared" si="37"/>
        <v>0.13525118076427661</v>
      </c>
      <c r="K49" s="147">
        <f t="shared" si="38"/>
        <v>0.18892228424216412</v>
      </c>
      <c r="L49" s="147">
        <f t="shared" si="39"/>
        <v>0.16659510519536294</v>
      </c>
      <c r="M49" s="147">
        <f t="shared" si="40"/>
        <v>0.19450407900386438</v>
      </c>
      <c r="N49" s="147">
        <f t="shared" si="41"/>
        <v>0.31429798196650927</v>
      </c>
      <c r="O49" s="147">
        <f t="shared" si="42"/>
        <v>0.31816230141691715</v>
      </c>
      <c r="P49" s="147">
        <f t="shared" si="43"/>
        <v>0.19879776728209544</v>
      </c>
      <c r="Q49" s="147">
        <f t="shared" si="44"/>
        <v>0.19879776728209544</v>
      </c>
      <c r="R49" s="147">
        <f t="shared" si="45"/>
        <v>0.19879776728209544</v>
      </c>
      <c r="S49" s="147">
        <f t="shared" si="46"/>
        <v>0.19879776728209544</v>
      </c>
    </row>
    <row r="50" spans="1:19" x14ac:dyDescent="0.25">
      <c r="A50" s="143" t="s">
        <v>196</v>
      </c>
      <c r="B50" s="147">
        <f t="shared" si="29"/>
        <v>0</v>
      </c>
      <c r="C50" s="147">
        <f t="shared" si="30"/>
        <v>-0.23441396508728179</v>
      </c>
      <c r="D50" s="147">
        <f t="shared" si="31"/>
        <v>-0.25498753117206985</v>
      </c>
      <c r="E50" s="147">
        <f t="shared" si="32"/>
        <v>-0.2312967581047381</v>
      </c>
      <c r="F50" s="147">
        <f t="shared" si="33"/>
        <v>-0.13778054862842887</v>
      </c>
      <c r="G50" s="147">
        <f t="shared" si="34"/>
        <v>-0.37219451371571066</v>
      </c>
      <c r="H50" s="147">
        <f t="shared" si="35"/>
        <v>-0.44950124688279297</v>
      </c>
      <c r="I50" s="147">
        <f t="shared" si="36"/>
        <v>-0.25124688279301743</v>
      </c>
      <c r="J50" s="147">
        <f t="shared" si="37"/>
        <v>-0.15960099750623435</v>
      </c>
      <c r="K50" s="147">
        <f t="shared" si="38"/>
        <v>1.3715710723192172E-2</v>
      </c>
      <c r="L50" s="147">
        <f t="shared" si="39"/>
        <v>-0.20012468827930169</v>
      </c>
      <c r="M50" s="147">
        <f t="shared" si="40"/>
        <v>-0.31047381546134656</v>
      </c>
      <c r="N50" s="147">
        <f t="shared" si="41"/>
        <v>-0.32543640897755605</v>
      </c>
      <c r="O50" s="147">
        <f t="shared" si="42"/>
        <v>-0.19139650872817948</v>
      </c>
      <c r="P50" s="147">
        <f t="shared" si="43"/>
        <v>-0.16396508728179546</v>
      </c>
      <c r="Q50" s="147">
        <f t="shared" si="44"/>
        <v>-0.1807980049875311</v>
      </c>
      <c r="R50" s="147">
        <f t="shared" si="45"/>
        <v>5.4862842892768243E-2</v>
      </c>
      <c r="S50" s="147">
        <f t="shared" si="46"/>
        <v>0.44513715710723201</v>
      </c>
    </row>
    <row r="51" spans="1:19" x14ac:dyDescent="0.25">
      <c r="A51" s="143" t="s">
        <v>197</v>
      </c>
      <c r="B51" s="147">
        <f t="shared" si="29"/>
        <v>0</v>
      </c>
      <c r="C51" s="147">
        <f t="shared" si="30"/>
        <v>1.8199233716475218E-2</v>
      </c>
      <c r="D51" s="147">
        <f t="shared" si="31"/>
        <v>6.5134099616858218E-2</v>
      </c>
      <c r="E51" s="147">
        <f t="shared" si="32"/>
        <v>0.10632183908045989</v>
      </c>
      <c r="F51" s="147">
        <f t="shared" si="33"/>
        <v>5.0766283524904324E-2</v>
      </c>
      <c r="G51" s="147">
        <f t="shared" si="34"/>
        <v>5.0766283524904324E-2</v>
      </c>
      <c r="H51" s="147">
        <f t="shared" si="35"/>
        <v>4.7892720306513412E-2</v>
      </c>
      <c r="I51" s="147">
        <f t="shared" si="36"/>
        <v>7.2796934865900373E-2</v>
      </c>
      <c r="J51" s="147">
        <f t="shared" si="37"/>
        <v>3.4482758620689773E-2</v>
      </c>
      <c r="K51" s="147">
        <f t="shared" si="38"/>
        <v>1.8199233716475218E-2</v>
      </c>
      <c r="L51" s="147">
        <f t="shared" si="39"/>
        <v>4.885057471264366E-2</v>
      </c>
      <c r="M51" s="147">
        <f t="shared" si="40"/>
        <v>9.6743295019157072E-2</v>
      </c>
      <c r="N51" s="147">
        <f t="shared" si="41"/>
        <v>0.11590038314176254</v>
      </c>
      <c r="O51" s="147">
        <f t="shared" si="42"/>
        <v>0.15613026819923381</v>
      </c>
      <c r="P51" s="147">
        <f t="shared" si="43"/>
        <v>0.27873563218390807</v>
      </c>
      <c r="Q51" s="147">
        <f t="shared" si="44"/>
        <v>0.26819923371647519</v>
      </c>
      <c r="R51" s="147">
        <f t="shared" si="45"/>
        <v>0.47701149425287365</v>
      </c>
      <c r="S51" s="147">
        <f t="shared" si="46"/>
        <v>0.62356321839080464</v>
      </c>
    </row>
    <row r="52" spans="1:19" x14ac:dyDescent="0.25">
      <c r="A52" s="143" t="s">
        <v>198</v>
      </c>
      <c r="B52" s="147">
        <f t="shared" si="29"/>
        <v>0</v>
      </c>
      <c r="C52" s="147">
        <f t="shared" si="30"/>
        <v>0.25020508613617726</v>
      </c>
      <c r="D52" s="147">
        <f t="shared" si="31"/>
        <v>0.35438884331419213</v>
      </c>
      <c r="E52" s="147">
        <f t="shared" si="32"/>
        <v>0.30762920426579166</v>
      </c>
      <c r="F52" s="147">
        <f t="shared" si="33"/>
        <v>0.53404429860541425</v>
      </c>
      <c r="G52" s="147">
        <f t="shared" si="34"/>
        <v>0.30844954881050041</v>
      </c>
      <c r="H52" s="147">
        <f t="shared" si="35"/>
        <v>0.27563576702214942</v>
      </c>
      <c r="I52" s="147">
        <f t="shared" si="36"/>
        <v>0.29696472518457762</v>
      </c>
      <c r="J52" s="147">
        <f t="shared" si="37"/>
        <v>0.29614438063986886</v>
      </c>
      <c r="K52" s="147">
        <f t="shared" si="38"/>
        <v>0.14848236259228881</v>
      </c>
      <c r="L52" s="147">
        <f t="shared" si="39"/>
        <v>9.8441345365053418E-2</v>
      </c>
      <c r="M52" s="147">
        <f t="shared" si="40"/>
        <v>0.32403609515996729</v>
      </c>
      <c r="N52" s="147">
        <f t="shared" si="41"/>
        <v>0.41345365053322403</v>
      </c>
      <c r="O52" s="147">
        <f t="shared" si="42"/>
        <v>0.39786710418375715</v>
      </c>
      <c r="P52" s="147">
        <f t="shared" si="43"/>
        <v>0.60377358490566047</v>
      </c>
      <c r="Q52" s="147">
        <f t="shared" si="44"/>
        <v>0.60377358490566047</v>
      </c>
      <c r="R52" s="147">
        <f t="shared" si="45"/>
        <v>0.60377358490566047</v>
      </c>
      <c r="S52" s="147">
        <f t="shared" si="46"/>
        <v>0.60377358490566047</v>
      </c>
    </row>
    <row r="53" spans="1:19" x14ac:dyDescent="0.25">
      <c r="A53" s="143" t="s">
        <v>199</v>
      </c>
      <c r="B53" s="147">
        <f t="shared" si="29"/>
        <v>0</v>
      </c>
      <c r="C53" s="147">
        <f t="shared" si="30"/>
        <v>-6.555944055944056E-2</v>
      </c>
      <c r="D53" s="147">
        <f t="shared" si="31"/>
        <v>-2.3601398601398565E-2</v>
      </c>
      <c r="E53" s="147">
        <f t="shared" si="32"/>
        <v>-1.7482517482517421E-2</v>
      </c>
      <c r="F53" s="147">
        <f t="shared" si="33"/>
        <v>-4.5454545454545421E-2</v>
      </c>
      <c r="G53" s="147">
        <f t="shared" si="34"/>
        <v>-1.6608391608391566E-2</v>
      </c>
      <c r="H53" s="147">
        <f t="shared" si="35"/>
        <v>3.7587412587412564E-2</v>
      </c>
      <c r="I53" s="147">
        <f t="shared" si="36"/>
        <v>6.2937062937062999E-2</v>
      </c>
      <c r="J53" s="147">
        <f t="shared" si="37"/>
        <v>6.8181818181818288E-2</v>
      </c>
      <c r="K53" s="147">
        <f t="shared" si="38"/>
        <v>7.4300699300699269E-2</v>
      </c>
      <c r="L53" s="147">
        <f t="shared" si="39"/>
        <v>0.10052447552447556</v>
      </c>
      <c r="M53" s="147">
        <f t="shared" si="40"/>
        <v>0.15559440559440571</v>
      </c>
      <c r="N53" s="147">
        <f t="shared" si="41"/>
        <v>0.13898601398601398</v>
      </c>
      <c r="O53" s="147">
        <f t="shared" si="42"/>
        <v>0.24475524475524482</v>
      </c>
      <c r="P53" s="147">
        <f t="shared" si="43"/>
        <v>0.25349650349650354</v>
      </c>
      <c r="Q53" s="147">
        <f t="shared" si="44"/>
        <v>0.39860139860139865</v>
      </c>
      <c r="R53" s="147">
        <f t="shared" si="45"/>
        <v>0.53846153846153866</v>
      </c>
      <c r="S53" s="147">
        <f t="shared" si="46"/>
        <v>0.55069930069930062</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8:Z34">
    <sortCondition ref="Z28: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zoomScaleNormal="100" workbookViewId="0">
      <selection activeCell="V16" sqref="V1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42" t="s">
        <v>216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row>
    <row r="3" spans="1:28" ht="15.75" x14ac:dyDescent="0.25">
      <c r="A3" s="318" t="s">
        <v>217</v>
      </c>
      <c r="B3" s="318"/>
      <c r="C3" s="318"/>
      <c r="D3" s="318"/>
      <c r="E3" s="318"/>
      <c r="F3" s="318"/>
      <c r="G3" s="318"/>
      <c r="H3" s="318"/>
      <c r="I3" s="318"/>
      <c r="J3" s="318"/>
      <c r="K3" s="318"/>
      <c r="L3" s="318"/>
      <c r="M3" s="318"/>
      <c r="N3" s="318"/>
      <c r="O3" s="318"/>
      <c r="P3" s="318"/>
      <c r="Q3" s="318"/>
      <c r="R3" s="318"/>
      <c r="S3" s="318"/>
      <c r="T3" s="318"/>
      <c r="U3" s="318"/>
      <c r="V3" s="318"/>
      <c r="W3" s="318"/>
      <c r="X3" s="142"/>
    </row>
    <row r="4" spans="1:28" x14ac:dyDescent="0.2">
      <c r="A4" s="189" t="s">
        <v>186</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218</v>
      </c>
      <c r="B5" s="144">
        <f>'2C'!B19</f>
        <v>244</v>
      </c>
      <c r="C5" s="144">
        <f>'2C'!C19</f>
        <v>235</v>
      </c>
      <c r="D5" s="144">
        <f>'2C'!D19</f>
        <v>214</v>
      </c>
      <c r="E5" s="144">
        <f>'2C'!E19</f>
        <v>220</v>
      </c>
      <c r="F5" s="144">
        <f>'2C'!F19</f>
        <v>227</v>
      </c>
      <c r="G5" s="144">
        <f>'2C'!G19</f>
        <v>250</v>
      </c>
      <c r="H5" s="144">
        <f>'2C'!H19</f>
        <v>232</v>
      </c>
      <c r="I5" s="144">
        <f>'2C'!I19</f>
        <v>243</v>
      </c>
      <c r="J5" s="144">
        <f>'2C'!J19</f>
        <v>238</v>
      </c>
      <c r="K5" s="144">
        <f>'2C'!K19</f>
        <v>200</v>
      </c>
      <c r="L5" s="144">
        <f>'2C'!L19</f>
        <v>170</v>
      </c>
      <c r="M5" s="144">
        <f>'2C'!M19</f>
        <v>174</v>
      </c>
      <c r="N5" s="144">
        <f>'2C'!N19</f>
        <v>173</v>
      </c>
      <c r="O5" s="144">
        <f>'2C'!O19</f>
        <v>164</v>
      </c>
      <c r="P5" s="144">
        <f>'2C'!P19</f>
        <v>183</v>
      </c>
      <c r="Q5" s="144">
        <f>'2C'!Q19</f>
        <v>191</v>
      </c>
      <c r="R5" s="144">
        <f>'2C'!R19</f>
        <v>196</v>
      </c>
      <c r="S5" s="144">
        <f>'2C'!S19</f>
        <v>145</v>
      </c>
      <c r="T5" s="144">
        <f>'2C'!T19</f>
        <v>150</v>
      </c>
      <c r="U5" s="144">
        <f>'2C'!U19</f>
        <v>124</v>
      </c>
      <c r="V5" s="144">
        <f>'2C'!V19</f>
        <v>131</v>
      </c>
      <c r="W5" s="144">
        <f>'2C'!W19</f>
        <v>125</v>
      </c>
      <c r="X5" s="145"/>
    </row>
    <row r="6" spans="1:28" x14ac:dyDescent="0.2">
      <c r="A6" s="143" t="s">
        <v>219</v>
      </c>
      <c r="B6" s="144">
        <v>7752</v>
      </c>
      <c r="C6" s="144">
        <v>7842</v>
      </c>
      <c r="D6" s="144">
        <v>7819</v>
      </c>
      <c r="E6" s="144">
        <v>7747</v>
      </c>
      <c r="F6" s="144">
        <v>7818</v>
      </c>
      <c r="G6" s="144">
        <v>7838</v>
      </c>
      <c r="H6" s="144">
        <v>7879</v>
      </c>
      <c r="I6" s="144">
        <v>7920</v>
      </c>
      <c r="J6" s="144">
        <v>7619</v>
      </c>
      <c r="K6" s="144">
        <v>7512</v>
      </c>
      <c r="L6" s="144">
        <v>7216</v>
      </c>
      <c r="M6" s="144">
        <v>6952</v>
      </c>
      <c r="N6" s="144">
        <v>7122</v>
      </c>
      <c r="O6" s="144">
        <v>7013</v>
      </c>
      <c r="P6" s="144">
        <v>7539</v>
      </c>
      <c r="Q6" s="144">
        <v>8196</v>
      </c>
      <c r="R6" s="144">
        <v>9011</v>
      </c>
      <c r="S6" s="144">
        <v>9232</v>
      </c>
      <c r="T6" s="144">
        <v>9331</v>
      </c>
      <c r="U6" s="144">
        <v>7343</v>
      </c>
      <c r="V6" s="144">
        <v>7928</v>
      </c>
      <c r="W6" s="144">
        <v>8182</v>
      </c>
      <c r="X6" s="145"/>
    </row>
    <row r="7" spans="1:28" x14ac:dyDescent="0.2">
      <c r="A7" s="143" t="s">
        <v>220</v>
      </c>
      <c r="B7" s="144">
        <v>329491</v>
      </c>
      <c r="C7" s="144">
        <v>335427</v>
      </c>
      <c r="D7" s="144">
        <v>336485</v>
      </c>
      <c r="E7" s="144">
        <v>338423</v>
      </c>
      <c r="F7" s="144">
        <v>345741</v>
      </c>
      <c r="G7" s="144">
        <v>358852</v>
      </c>
      <c r="H7" s="144">
        <v>378515</v>
      </c>
      <c r="I7" s="144">
        <v>387995</v>
      </c>
      <c r="J7" s="144">
        <v>379614</v>
      </c>
      <c r="K7" s="144">
        <v>362435</v>
      </c>
      <c r="L7" s="144">
        <v>342254</v>
      </c>
      <c r="M7" s="144">
        <v>333666</v>
      </c>
      <c r="N7" s="144">
        <v>346046</v>
      </c>
      <c r="O7" s="144">
        <v>346705</v>
      </c>
      <c r="P7" s="144">
        <v>364444</v>
      </c>
      <c r="Q7" s="144">
        <v>380182</v>
      </c>
      <c r="R7" s="144">
        <v>404523</v>
      </c>
      <c r="S7" s="144">
        <v>418413</v>
      </c>
      <c r="T7" s="144">
        <v>426652</v>
      </c>
      <c r="U7" s="144">
        <v>359515</v>
      </c>
      <c r="V7" s="144">
        <v>395888</v>
      </c>
      <c r="W7" s="144">
        <v>418306</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8" t="s">
        <v>221</v>
      </c>
      <c r="B10" s="318"/>
      <c r="C10" s="318"/>
      <c r="D10" s="318"/>
      <c r="E10" s="318"/>
      <c r="F10" s="318"/>
      <c r="G10" s="318"/>
      <c r="H10" s="318"/>
      <c r="I10" s="318"/>
      <c r="J10" s="318"/>
      <c r="K10" s="318"/>
      <c r="L10" s="318"/>
      <c r="M10" s="318"/>
      <c r="N10" s="318"/>
      <c r="O10" s="318"/>
      <c r="P10" s="318"/>
      <c r="Q10" s="318"/>
      <c r="R10" s="318"/>
      <c r="S10" s="318"/>
      <c r="T10" s="318"/>
      <c r="U10" s="318"/>
      <c r="V10" s="318"/>
      <c r="W10" s="318"/>
    </row>
    <row r="11" spans="1:28" x14ac:dyDescent="0.2">
      <c r="A11" s="189" t="s">
        <v>186</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218</v>
      </c>
      <c r="B12" s="170">
        <f>(B5-B5)/B5</f>
        <v>0</v>
      </c>
      <c r="C12" s="170">
        <f>(C5-B5)/B5</f>
        <v>-3.6885245901639344E-2</v>
      </c>
      <c r="D12" s="170">
        <f>(D5-B5)/B5</f>
        <v>-0.12295081967213115</v>
      </c>
      <c r="E12" s="170">
        <f>(E5-B5)/B5</f>
        <v>-9.8360655737704916E-2</v>
      </c>
      <c r="F12" s="170">
        <f>(F5-B5)/B5</f>
        <v>-6.9672131147540978E-2</v>
      </c>
      <c r="G12" s="170">
        <f>(G5-B5)/B5</f>
        <v>2.4590163934426229E-2</v>
      </c>
      <c r="H12" s="170">
        <f>(H5-B5)/B5</f>
        <v>-4.9180327868852458E-2</v>
      </c>
      <c r="I12" s="170">
        <f>(I5-B5)/B5</f>
        <v>-4.0983606557377051E-3</v>
      </c>
      <c r="J12" s="170">
        <f>(J5-B5)/B5</f>
        <v>-2.4590163934426229E-2</v>
      </c>
      <c r="K12" s="170">
        <f>(K5-B5)/B5</f>
        <v>-0.18032786885245902</v>
      </c>
      <c r="L12" s="170">
        <f>(L5-B5)/B5</f>
        <v>-0.30327868852459017</v>
      </c>
      <c r="M12" s="170">
        <f>(M5-B5)/B5</f>
        <v>-0.28688524590163933</v>
      </c>
      <c r="N12" s="170">
        <f>(N5-B5)/B5</f>
        <v>-0.29098360655737704</v>
      </c>
      <c r="O12" s="170">
        <f>(O5-B5)/B5</f>
        <v>-0.32786885245901637</v>
      </c>
      <c r="P12" s="170">
        <f>(P5-B5)/B5</f>
        <v>-0.25</v>
      </c>
      <c r="Q12" s="170">
        <f>(Q5-B5)/B5</f>
        <v>-0.21721311475409835</v>
      </c>
      <c r="R12" s="170">
        <f>(R5-B5)/B5</f>
        <v>-0.19672131147540983</v>
      </c>
      <c r="S12" s="170">
        <f>(S5-B5)/B5</f>
        <v>-0.40573770491803279</v>
      </c>
      <c r="T12" s="170">
        <f>(T5-B5)/B5</f>
        <v>-0.38524590163934425</v>
      </c>
      <c r="U12" s="170">
        <f>(U5-B5)/B5</f>
        <v>-0.49180327868852458</v>
      </c>
      <c r="V12" s="170">
        <f>(V5-B5)/B5</f>
        <v>-0.46311475409836067</v>
      </c>
      <c r="W12" s="170">
        <f>(W5-B5)/B5</f>
        <v>-0.48770491803278687</v>
      </c>
    </row>
    <row r="13" spans="1:28" x14ac:dyDescent="0.2">
      <c r="A13" s="143" t="s">
        <v>219</v>
      </c>
      <c r="B13" s="170">
        <f>(B6-B6)/B6</f>
        <v>0</v>
      </c>
      <c r="C13" s="170">
        <f>(C6-B6)/B6</f>
        <v>1.1609907120743035E-2</v>
      </c>
      <c r="D13" s="170">
        <f>(D6-B6)/B6</f>
        <v>8.6429308565531479E-3</v>
      </c>
      <c r="E13" s="170">
        <f>(E6-B6)/B6</f>
        <v>-6.4499484004127967E-4</v>
      </c>
      <c r="F13" s="170">
        <f>(F6-B6)/B6</f>
        <v>8.5139318885448911E-3</v>
      </c>
      <c r="G13" s="170">
        <f>(G6-B6)/B6</f>
        <v>1.1093911248710011E-2</v>
      </c>
      <c r="H13" s="170">
        <f>(H6-B6)/B6</f>
        <v>1.6382868937048503E-2</v>
      </c>
      <c r="I13" s="170">
        <f>(I6-B6)/B6</f>
        <v>2.1671826625386997E-2</v>
      </c>
      <c r="J13" s="170">
        <f>(J6-B6)/B6</f>
        <v>-1.7156862745098041E-2</v>
      </c>
      <c r="K13" s="170">
        <f>(K6-B6)/B6</f>
        <v>-3.0959752321981424E-2</v>
      </c>
      <c r="L13" s="170">
        <f>(L6-B6)/B6</f>
        <v>-6.9143446852425183E-2</v>
      </c>
      <c r="M13" s="170">
        <f>(M6-B6)/B6</f>
        <v>-0.10319917440660474</v>
      </c>
      <c r="N13" s="170">
        <f>(N6-B6)/B6</f>
        <v>-8.1269349845201233E-2</v>
      </c>
      <c r="O13" s="170">
        <f>(O6-B6)/B6</f>
        <v>-9.533023735810113E-2</v>
      </c>
      <c r="P13" s="170">
        <f>(P6-B6)/B6</f>
        <v>-2.7476780185758515E-2</v>
      </c>
      <c r="Q13" s="170">
        <f>(Q6-B6)/B6</f>
        <v>5.7275541795665637E-2</v>
      </c>
      <c r="R13" s="170">
        <f>(R6-B6)/B6</f>
        <v>0.16240970072239422</v>
      </c>
      <c r="S13" s="170">
        <f>(S6-B6)/B6</f>
        <v>0.19091847265221878</v>
      </c>
      <c r="T13" s="170">
        <f>(T6-B6)/B6</f>
        <v>0.20368937048503613</v>
      </c>
      <c r="U13" s="170">
        <f>(U6-B6)/B6</f>
        <v>-5.276057791537668E-2</v>
      </c>
      <c r="V13" s="170">
        <f>(V6-B6)/B6</f>
        <v>2.2703818369453045E-2</v>
      </c>
      <c r="W13" s="170">
        <f>(W6-B6)/B6</f>
        <v>5.5469556243550051E-2</v>
      </c>
    </row>
    <row r="14" spans="1:28" x14ac:dyDescent="0.2">
      <c r="A14" s="143" t="s">
        <v>220</v>
      </c>
      <c r="B14" s="170">
        <f>(B7-B7)/B7</f>
        <v>0</v>
      </c>
      <c r="C14" s="170">
        <f>(C7-B7)/B7</f>
        <v>1.8015666588768738E-2</v>
      </c>
      <c r="D14" s="170">
        <f>(D7-B7)/B7</f>
        <v>2.1226679939664511E-2</v>
      </c>
      <c r="E14" s="170">
        <f>(E7-B7)/B7</f>
        <v>2.7108479442534091E-2</v>
      </c>
      <c r="F14" s="170">
        <f>(F7-B7)/B7</f>
        <v>4.9318494283607142E-2</v>
      </c>
      <c r="G14" s="170">
        <f>(G7-B7)/B7</f>
        <v>8.911017296375319E-2</v>
      </c>
      <c r="H14" s="170">
        <f>(H7-B7)/B7</f>
        <v>0.14878706853904963</v>
      </c>
      <c r="I14" s="170">
        <f>(I7-B7)/B7</f>
        <v>0.17755871935804013</v>
      </c>
      <c r="J14" s="170">
        <f>(J7-B7)/B7</f>
        <v>0.15212251624475326</v>
      </c>
      <c r="K14" s="170">
        <f>(K7-B7)/B7</f>
        <v>9.99845215802556E-2</v>
      </c>
      <c r="L14" s="170">
        <f>(L7-B7)/B7</f>
        <v>3.8735504156410951E-2</v>
      </c>
      <c r="M14" s="170">
        <f>(M7-B7)/B7</f>
        <v>1.2671059300557527E-2</v>
      </c>
      <c r="N14" s="170">
        <f>(N7-B7)/B7</f>
        <v>5.0244164484007148E-2</v>
      </c>
      <c r="O14" s="170">
        <f>(O7-B7)/B7</f>
        <v>5.2244219113723893E-2</v>
      </c>
      <c r="P14" s="170">
        <f>(P7-B7)/B7</f>
        <v>0.10608180496584126</v>
      </c>
      <c r="Q14" s="170">
        <f>(Q7-B7)/B7</f>
        <v>0.15384638730648181</v>
      </c>
      <c r="R14" s="170">
        <f>(R7-B7)/B7</f>
        <v>0.22772093926692991</v>
      </c>
      <c r="S14" s="170">
        <f>(S7-B7)/B7</f>
        <v>0.26987687068842547</v>
      </c>
      <c r="T14" s="170">
        <f>(T7-B7)/B7</f>
        <v>0.29488210603628018</v>
      </c>
      <c r="U14" s="170">
        <f>(U7-B7)/B7</f>
        <v>9.1122367530524356E-2</v>
      </c>
      <c r="V14" s="170">
        <f>(V7-B7)/B7</f>
        <v>0.20151385015068696</v>
      </c>
      <c r="W14" s="170">
        <f>(W7-B7)/B7</f>
        <v>0.26955212737221956</v>
      </c>
    </row>
    <row r="16" spans="1:28" ht="15.75" x14ac:dyDescent="0.25">
      <c r="A16" s="318" t="s">
        <v>222</v>
      </c>
      <c r="B16" s="318"/>
      <c r="C16" s="318"/>
      <c r="D16" s="318"/>
      <c r="E16" s="318"/>
      <c r="F16" s="318"/>
      <c r="G16" s="318"/>
      <c r="H16" s="318"/>
      <c r="I16" s="318"/>
      <c r="J16" s="318"/>
      <c r="K16" s="318"/>
      <c r="L16" s="318"/>
      <c r="M16" s="318"/>
      <c r="N16" s="318"/>
      <c r="O16" s="318"/>
      <c r="P16" s="318"/>
      <c r="Q16" s="318"/>
      <c r="R16" s="318"/>
      <c r="S16" s="318"/>
      <c r="T16"/>
      <c r="U16"/>
      <c r="V16"/>
      <c r="W16"/>
    </row>
    <row r="17" spans="1:23" ht="15" x14ac:dyDescent="0.25">
      <c r="A17" s="189" t="s">
        <v>186</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218</v>
      </c>
      <c r="B18" s="150">
        <f>'2C'!B38</f>
        <v>9.2799999999999994</v>
      </c>
      <c r="C18" s="150">
        <f>'2C'!C38</f>
        <v>17.41</v>
      </c>
      <c r="D18" s="150">
        <f>'2C'!D38</f>
        <v>16.04</v>
      </c>
      <c r="E18" s="150">
        <f>'2C'!E38</f>
        <v>8.5500000000000007</v>
      </c>
      <c r="F18" s="150">
        <f>'2C'!F38</f>
        <v>8.8000000000000007</v>
      </c>
      <c r="G18" s="150">
        <f>'2C'!G38</f>
        <v>10.220000000000001</v>
      </c>
      <c r="H18" s="150">
        <f>'2C'!H38</f>
        <v>12</v>
      </c>
      <c r="I18" s="150">
        <f>'2C'!I38</f>
        <v>16.190000000000001</v>
      </c>
      <c r="J18" s="150">
        <f>'2C'!J38</f>
        <v>16.739999999999998</v>
      </c>
      <c r="K18" s="150">
        <f>'2C'!K38</f>
        <v>16.309999999999999</v>
      </c>
      <c r="L18" s="150">
        <f>'2C'!L38</f>
        <v>18.45</v>
      </c>
      <c r="M18" s="150">
        <f>'2C'!M38</f>
        <v>17.12</v>
      </c>
      <c r="N18" s="150">
        <f>'2C'!N38</f>
        <v>18.2</v>
      </c>
      <c r="O18" s="150">
        <f>'2C'!O38</f>
        <v>16.47</v>
      </c>
      <c r="P18" s="150">
        <f>'2C'!P38</f>
        <v>17.46</v>
      </c>
      <c r="Q18" s="150">
        <f>'2C'!Q38</f>
        <v>17.3</v>
      </c>
      <c r="R18" s="150">
        <f>'2C'!R38</f>
        <v>14.38</v>
      </c>
      <c r="S18" s="150">
        <f>'2C'!S38</f>
        <v>15.19</v>
      </c>
      <c r="T18"/>
      <c r="U18"/>
      <c r="V18"/>
      <c r="W18"/>
    </row>
    <row r="19" spans="1:23" ht="15" x14ac:dyDescent="0.25">
      <c r="A19" s="143" t="s">
        <v>219</v>
      </c>
      <c r="B19" s="150">
        <v>12.09</v>
      </c>
      <c r="C19" s="150">
        <v>12.89</v>
      </c>
      <c r="D19" s="150">
        <v>13.66</v>
      </c>
      <c r="E19" s="150">
        <v>13.59</v>
      </c>
      <c r="F19" s="150">
        <v>13.75</v>
      </c>
      <c r="G19" s="150">
        <v>13.43</v>
      </c>
      <c r="H19" s="150">
        <v>14.98</v>
      </c>
      <c r="I19" s="150">
        <v>14.43</v>
      </c>
      <c r="J19" s="150">
        <v>13.82</v>
      </c>
      <c r="K19" s="150">
        <v>13.23</v>
      </c>
      <c r="L19" s="150">
        <v>13.34</v>
      </c>
      <c r="M19" s="150">
        <v>13.31</v>
      </c>
      <c r="N19" s="150">
        <v>13.94</v>
      </c>
      <c r="O19" s="150">
        <v>15.09</v>
      </c>
      <c r="P19" s="150">
        <v>14.89</v>
      </c>
      <c r="Q19" s="150">
        <v>14.63</v>
      </c>
      <c r="R19" s="150">
        <v>14.37</v>
      </c>
      <c r="S19" s="151">
        <v>16.14</v>
      </c>
      <c r="T19"/>
      <c r="U19"/>
      <c r="V19"/>
      <c r="W19"/>
    </row>
    <row r="20" spans="1:23" ht="15" x14ac:dyDescent="0.25">
      <c r="A20" s="143" t="s">
        <v>220</v>
      </c>
      <c r="B20" s="150">
        <v>10.57</v>
      </c>
      <c r="C20" s="150">
        <v>10.91</v>
      </c>
      <c r="D20" s="150">
        <v>11.12</v>
      </c>
      <c r="E20" s="150">
        <v>11.48</v>
      </c>
      <c r="F20" s="150">
        <v>11.8</v>
      </c>
      <c r="G20" s="150">
        <v>12.35</v>
      </c>
      <c r="H20" s="150">
        <v>12.8</v>
      </c>
      <c r="I20" s="150">
        <v>13.04</v>
      </c>
      <c r="J20" s="150">
        <v>13.26</v>
      </c>
      <c r="K20" s="150">
        <v>13.52</v>
      </c>
      <c r="L20" s="150">
        <v>13.74</v>
      </c>
      <c r="M20" s="150">
        <v>13.84</v>
      </c>
      <c r="N20" s="150">
        <v>13.94</v>
      </c>
      <c r="O20" s="150">
        <v>14.32</v>
      </c>
      <c r="P20" s="150">
        <v>14.67</v>
      </c>
      <c r="Q20" s="150">
        <v>15.35</v>
      </c>
      <c r="R20" s="150">
        <v>14.52</v>
      </c>
      <c r="S20" s="151">
        <v>16.989999999999998</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8" t="s">
        <v>223</v>
      </c>
      <c r="B23" s="318"/>
      <c r="C23" s="318"/>
      <c r="D23" s="318"/>
      <c r="E23" s="318"/>
      <c r="F23" s="318"/>
      <c r="G23" s="318"/>
      <c r="H23" s="318"/>
      <c r="I23" s="318"/>
      <c r="J23" s="318"/>
      <c r="K23" s="318"/>
      <c r="L23" s="318"/>
      <c r="M23" s="318"/>
      <c r="N23" s="318"/>
      <c r="O23" s="318"/>
      <c r="P23" s="318"/>
      <c r="Q23" s="318"/>
      <c r="R23" s="318"/>
      <c r="S23" s="318"/>
      <c r="T23"/>
      <c r="U23"/>
      <c r="V23"/>
      <c r="W23"/>
    </row>
    <row r="24" spans="1:23" ht="15" x14ac:dyDescent="0.25">
      <c r="A24" s="189" t="s">
        <v>186</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318</v>
      </c>
      <c r="B25" s="170">
        <f>(B18-B18)/B18</f>
        <v>0</v>
      </c>
      <c r="C25" s="170">
        <f>(C18-B18)/B18</f>
        <v>0.87607758620689669</v>
      </c>
      <c r="D25" s="170">
        <f>(D18-B18)/B18</f>
        <v>0.72844827586206895</v>
      </c>
      <c r="E25" s="170">
        <f>(E18-B18)/B18</f>
        <v>-7.8663793103448135E-2</v>
      </c>
      <c r="F25" s="170">
        <f>(F18-B18)/B18</f>
        <v>-5.1724137931034343E-2</v>
      </c>
      <c r="G25" s="170">
        <f>(G18-B18)/B18</f>
        <v>0.10129310344827601</v>
      </c>
      <c r="H25" s="170">
        <f>(H18-B18)/B18</f>
        <v>0.29310344827586216</v>
      </c>
      <c r="I25" s="170">
        <f>(I18-B18)/B18</f>
        <v>0.74461206896551746</v>
      </c>
      <c r="J25" s="170">
        <f>(J18-B18)/B18</f>
        <v>0.80387931034482751</v>
      </c>
      <c r="K25" s="170">
        <f>(K18-B18)/B18</f>
        <v>0.7575431034482758</v>
      </c>
      <c r="L25" s="170">
        <f>(L18-B18)/B18</f>
        <v>0.98814655172413801</v>
      </c>
      <c r="M25" s="170">
        <f>(M18-B18)/B18</f>
        <v>0.8448275862068968</v>
      </c>
      <c r="N25" s="170">
        <f>(N18-B18)/B18</f>
        <v>0.9612068965517242</v>
      </c>
      <c r="O25" s="170">
        <f>(O18-B18)/B18</f>
        <v>0.77478448275862066</v>
      </c>
      <c r="P25" s="170">
        <f>(P18-B18)/B18</f>
        <v>0.88146551724137956</v>
      </c>
      <c r="Q25" s="170">
        <f>(Q18-B18)/B18</f>
        <v>0.8642241379310347</v>
      </c>
      <c r="R25" s="170">
        <f>(R18-B18)/B18</f>
        <v>0.54956896551724155</v>
      </c>
      <c r="S25" s="170">
        <f>(S18-B18)/B18</f>
        <v>0.6368534482758621</v>
      </c>
      <c r="T25"/>
      <c r="U25"/>
      <c r="V25"/>
      <c r="W25"/>
    </row>
    <row r="26" spans="1:23" ht="15" x14ac:dyDescent="0.25">
      <c r="A26" s="143" t="s">
        <v>219</v>
      </c>
      <c r="B26" s="170">
        <f>(B19-B19)/B19</f>
        <v>0</v>
      </c>
      <c r="C26" s="170">
        <f>(C19-B19)/B19</f>
        <v>6.6170388751033968E-2</v>
      </c>
      <c r="D26" s="170">
        <f>(D19-B19)/B19</f>
        <v>0.12985938792390408</v>
      </c>
      <c r="E26" s="170">
        <f>(E19-B19)/B19</f>
        <v>0.12406947890818859</v>
      </c>
      <c r="F26" s="170">
        <f>(F19-B19)/B19</f>
        <v>0.13730355665839539</v>
      </c>
      <c r="G26" s="170">
        <f>(G19-B19)/B19</f>
        <v>0.11083540115798179</v>
      </c>
      <c r="H26" s="170">
        <f>(H19-B19)/B19</f>
        <v>0.23904052936311007</v>
      </c>
      <c r="I26" s="170">
        <f>(I19-B19)/B19</f>
        <v>0.19354838709677419</v>
      </c>
      <c r="J26" s="170">
        <f>(J19-B19)/B19</f>
        <v>0.14309346567411088</v>
      </c>
      <c r="K26" s="170">
        <f>(K19-B19)/B19</f>
        <v>9.4292803970223368E-2</v>
      </c>
      <c r="L26" s="170">
        <f>(L19-B19)/B19</f>
        <v>0.10339123242349049</v>
      </c>
      <c r="M26" s="170">
        <f>(M19-B19)/B19</f>
        <v>0.10090984284532677</v>
      </c>
      <c r="N26" s="170">
        <f>(N19-B19)/B19</f>
        <v>0.1530190239867659</v>
      </c>
      <c r="O26" s="170">
        <f>(O19-B19)/B19</f>
        <v>0.24813895781637718</v>
      </c>
      <c r="P26" s="170">
        <f>(P19-B19)/B19</f>
        <v>0.23159636062861874</v>
      </c>
      <c r="Q26" s="170">
        <f>(Q19-B19)/B19</f>
        <v>0.21009098428453274</v>
      </c>
      <c r="R26" s="170">
        <f>(R19-B19)/B19</f>
        <v>0.1885856079404466</v>
      </c>
      <c r="S26" s="170">
        <f>(S19-B19)/B19</f>
        <v>0.33498759305210923</v>
      </c>
      <c r="T26"/>
      <c r="U26"/>
      <c r="V26"/>
      <c r="W26"/>
    </row>
    <row r="27" spans="1:23" ht="15" x14ac:dyDescent="0.25">
      <c r="A27" s="143" t="s">
        <v>220</v>
      </c>
      <c r="B27" s="170">
        <f>(B20-B20)/B20</f>
        <v>0</v>
      </c>
      <c r="C27" s="170">
        <f>(C20-B20)/B20</f>
        <v>3.2166508987701029E-2</v>
      </c>
      <c r="D27" s="170">
        <f>(D20-B20)/B20</f>
        <v>5.2034058656575108E-2</v>
      </c>
      <c r="E27" s="170">
        <f>(E20-B20)/B20</f>
        <v>8.6092715231788089E-2</v>
      </c>
      <c r="F27" s="170">
        <f>(F20-B20)/B20</f>
        <v>0.11636707663197733</v>
      </c>
      <c r="G27" s="170">
        <f>(G20-B20)/B20</f>
        <v>0.16840113528855244</v>
      </c>
      <c r="H27" s="170">
        <f>(H20-B20)/B20</f>
        <v>0.21097445600756862</v>
      </c>
      <c r="I27" s="170">
        <f>(I20-B20)/B20</f>
        <v>0.23368022705771038</v>
      </c>
      <c r="J27" s="170">
        <f>(J20-B20)/B20</f>
        <v>0.25449385052034051</v>
      </c>
      <c r="K27" s="170">
        <f>(K20-B20)/B20</f>
        <v>0.27909176915799427</v>
      </c>
      <c r="L27" s="170">
        <f>(L20-B20)/B20</f>
        <v>0.29990539262062438</v>
      </c>
      <c r="M27" s="170">
        <f>(M20-B20)/B20</f>
        <v>0.30936613055818352</v>
      </c>
      <c r="N27" s="170">
        <f>(N20-B20)/B20</f>
        <v>0.3188268684957426</v>
      </c>
      <c r="O27" s="170">
        <f>(O20-B20)/B20</f>
        <v>0.35477767265846732</v>
      </c>
      <c r="P27" s="170">
        <f>(P20-B20)/B20</f>
        <v>0.38789025543992428</v>
      </c>
      <c r="Q27" s="170">
        <f>(Q20-B20)/B20</f>
        <v>0.45222327341532631</v>
      </c>
      <c r="R27" s="170">
        <f>(R20-B20)/B20</f>
        <v>0.37369914853358555</v>
      </c>
      <c r="S27" s="170">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200</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4" spans="1:27" ht="15" x14ac:dyDescent="0.25">
      <c r="A4" s="323" t="s">
        <v>319</v>
      </c>
      <c r="B4" s="323"/>
      <c r="C4" s="323"/>
      <c r="D4" s="323"/>
    </row>
    <row r="5" spans="1:27" ht="15" x14ac:dyDescent="0.25">
      <c r="A5" s="324" t="s">
        <v>201</v>
      </c>
      <c r="B5" s="325"/>
      <c r="C5" s="324" t="s">
        <v>202</v>
      </c>
      <c r="D5" s="324"/>
    </row>
    <row r="6" spans="1:27" x14ac:dyDescent="0.2">
      <c r="A6" s="154" t="s">
        <v>203</v>
      </c>
      <c r="B6" s="155" t="s">
        <v>192</v>
      </c>
      <c r="C6" s="154" t="s">
        <v>203</v>
      </c>
      <c r="D6" s="156" t="s">
        <v>192</v>
      </c>
    </row>
    <row r="7" spans="1:27" x14ac:dyDescent="0.2">
      <c r="A7" s="1" t="s">
        <v>204</v>
      </c>
      <c r="B7" s="157">
        <v>0.20699999999999999</v>
      </c>
      <c r="C7" s="1" t="s">
        <v>204</v>
      </c>
      <c r="D7" s="158">
        <v>0.1502</v>
      </c>
    </row>
    <row r="8" spans="1:27" x14ac:dyDescent="0.2">
      <c r="A8" s="1" t="s">
        <v>205</v>
      </c>
      <c r="B8" s="157">
        <v>0.1321</v>
      </c>
      <c r="C8" s="1" t="s">
        <v>205</v>
      </c>
      <c r="D8" s="158">
        <v>0.14130000000000001</v>
      </c>
    </row>
    <row r="9" spans="1:27" x14ac:dyDescent="0.2">
      <c r="A9" s="1" t="s">
        <v>206</v>
      </c>
      <c r="B9" s="157">
        <v>8.3199999999999996E-2</v>
      </c>
      <c r="C9" s="1" t="s">
        <v>207</v>
      </c>
      <c r="D9" s="158">
        <v>0.1195</v>
      </c>
    </row>
    <row r="10" spans="1:27" x14ac:dyDescent="0.2">
      <c r="A10" s="1" t="s">
        <v>207</v>
      </c>
      <c r="B10" s="157">
        <v>7.8689999999999996E-2</v>
      </c>
      <c r="C10" s="1" t="s">
        <v>208</v>
      </c>
      <c r="D10" s="158">
        <v>0.10111000000000001</v>
      </c>
    </row>
    <row r="11" spans="1:27" x14ac:dyDescent="0.2">
      <c r="A11" s="1" t="s">
        <v>209</v>
      </c>
      <c r="B11" s="157">
        <v>6.7970000000000003E-2</v>
      </c>
      <c r="C11" s="1" t="s">
        <v>210</v>
      </c>
      <c r="D11" s="158">
        <v>9.7339999999999996E-2</v>
      </c>
    </row>
    <row r="12" spans="1:27" x14ac:dyDescent="0.2">
      <c r="A12" s="1" t="s">
        <v>210</v>
      </c>
      <c r="B12" s="157">
        <v>6.6900000000000001E-2</v>
      </c>
      <c r="C12" s="1" t="s">
        <v>206</v>
      </c>
      <c r="D12" s="158">
        <v>9.1399999999999995E-2</v>
      </c>
    </row>
    <row r="13" spans="1:27" x14ac:dyDescent="0.2">
      <c r="A13" s="1" t="s">
        <v>211</v>
      </c>
      <c r="B13" s="157">
        <v>6.6500000000000004E-2</v>
      </c>
      <c r="C13" s="1" t="s">
        <v>212</v>
      </c>
      <c r="D13" s="158">
        <v>8.8999999999999996E-2</v>
      </c>
    </row>
    <row r="14" spans="1:27" x14ac:dyDescent="0.2">
      <c r="A14" s="1" t="s">
        <v>208</v>
      </c>
      <c r="B14" s="157">
        <v>6.6299999999999998E-2</v>
      </c>
      <c r="C14" s="1" t="s">
        <v>213</v>
      </c>
      <c r="D14" s="158">
        <v>7.17E-2</v>
      </c>
    </row>
    <row r="15" spans="1:27" x14ac:dyDescent="0.2">
      <c r="A15" s="1" t="s">
        <v>214</v>
      </c>
      <c r="B15" s="157">
        <v>6.5600000000000006E-2</v>
      </c>
      <c r="C15" s="1" t="s">
        <v>209</v>
      </c>
      <c r="D15" s="158">
        <v>6.9199999999999998E-2</v>
      </c>
    </row>
    <row r="16" spans="1:27" x14ac:dyDescent="0.2">
      <c r="A16" s="1" t="s">
        <v>212</v>
      </c>
      <c r="B16" s="157">
        <v>6.0299999999999999E-2</v>
      </c>
      <c r="C16" s="1" t="s">
        <v>215</v>
      </c>
      <c r="D16" s="158">
        <v>6.8699999999999997E-2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zoomScaleNormal="100" workbookViewId="0">
      <selection activeCell="D12" sqref="D12"/>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42" t="s">
        <v>224</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row>
    <row r="3" spans="1:27" ht="15" x14ac:dyDescent="0.25">
      <c r="A3" s="193" t="s">
        <v>225</v>
      </c>
      <c r="B3" s="193"/>
      <c r="C3" s="193"/>
      <c r="D3" s="193"/>
      <c r="F3" s="323" t="s">
        <v>226</v>
      </c>
      <c r="G3" s="323"/>
      <c r="H3" s="323"/>
    </row>
    <row r="4" spans="1:27" ht="28.5" x14ac:dyDescent="0.2">
      <c r="A4" s="191" t="s">
        <v>227</v>
      </c>
      <c r="B4" s="191" t="s">
        <v>228</v>
      </c>
      <c r="C4" s="192" t="s">
        <v>229</v>
      </c>
      <c r="D4" s="1"/>
      <c r="F4" s="191" t="s">
        <v>230</v>
      </c>
      <c r="G4" s="192" t="s">
        <v>231</v>
      </c>
      <c r="H4" s="37" t="s">
        <v>232</v>
      </c>
      <c r="O4" s="1"/>
    </row>
    <row r="5" spans="1:27" ht="15" x14ac:dyDescent="0.25">
      <c r="A5" s="160">
        <v>43313</v>
      </c>
      <c r="B5">
        <v>4</v>
      </c>
      <c r="C5" s="218" t="s">
        <v>233</v>
      </c>
      <c r="D5" s="1"/>
      <c r="F5" s="1" t="s">
        <v>320</v>
      </c>
      <c r="G5" s="159">
        <v>44</v>
      </c>
      <c r="H5" s="203" t="s">
        <v>329</v>
      </c>
      <c r="O5" s="1"/>
    </row>
    <row r="6" spans="1:27" ht="15" x14ac:dyDescent="0.25">
      <c r="A6" s="160">
        <v>43344</v>
      </c>
      <c r="B6">
        <v>0</v>
      </c>
      <c r="C6" s="218" t="s">
        <v>233</v>
      </c>
      <c r="D6" s="1"/>
      <c r="F6" s="1" t="s">
        <v>321</v>
      </c>
      <c r="G6" s="159">
        <v>10</v>
      </c>
      <c r="H6" s="203" t="s">
        <v>235</v>
      </c>
      <c r="O6" s="1"/>
    </row>
    <row r="7" spans="1:27" ht="15" x14ac:dyDescent="0.25">
      <c r="A7" s="160">
        <v>43374</v>
      </c>
      <c r="B7">
        <v>3</v>
      </c>
      <c r="C7" s="218" t="s">
        <v>233</v>
      </c>
      <c r="D7" s="1"/>
      <c r="F7" s="1" t="s">
        <v>322</v>
      </c>
      <c r="G7" s="159">
        <v>3</v>
      </c>
      <c r="H7" s="203" t="s">
        <v>330</v>
      </c>
      <c r="O7" s="1"/>
    </row>
    <row r="8" spans="1:27" ht="15" x14ac:dyDescent="0.25">
      <c r="A8" s="160">
        <v>43405</v>
      </c>
      <c r="B8">
        <v>0</v>
      </c>
      <c r="C8" s="218" t="s">
        <v>233</v>
      </c>
      <c r="D8" s="1"/>
      <c r="F8" s="1" t="s">
        <v>323</v>
      </c>
      <c r="G8" s="159">
        <v>3</v>
      </c>
      <c r="H8" s="203" t="s">
        <v>330</v>
      </c>
      <c r="O8" s="1"/>
    </row>
    <row r="9" spans="1:27" ht="15" x14ac:dyDescent="0.25">
      <c r="A9" s="160">
        <v>43435</v>
      </c>
      <c r="B9">
        <v>0</v>
      </c>
      <c r="C9" s="218" t="s">
        <v>233</v>
      </c>
      <c r="D9" s="161"/>
      <c r="F9" s="1" t="s">
        <v>324</v>
      </c>
      <c r="G9" s="159">
        <v>2</v>
      </c>
      <c r="H9" s="203" t="s">
        <v>235</v>
      </c>
      <c r="O9" s="1"/>
    </row>
    <row r="10" spans="1:27" ht="15" x14ac:dyDescent="0.25">
      <c r="A10" s="160">
        <v>43466</v>
      </c>
      <c r="B10">
        <v>0</v>
      </c>
      <c r="C10" s="218" t="s">
        <v>233</v>
      </c>
      <c r="D10" s="161"/>
      <c r="F10" s="1" t="s">
        <v>325</v>
      </c>
      <c r="G10" s="159">
        <v>1</v>
      </c>
      <c r="H10" s="203" t="s">
        <v>235</v>
      </c>
      <c r="O10" s="1"/>
    </row>
    <row r="11" spans="1:27" ht="15" x14ac:dyDescent="0.25">
      <c r="A11" s="160">
        <v>43497</v>
      </c>
      <c r="B11">
        <v>4</v>
      </c>
      <c r="C11" s="218" t="s">
        <v>233</v>
      </c>
      <c r="D11" s="161"/>
      <c r="F11" s="1" t="s">
        <v>326</v>
      </c>
      <c r="G11" s="159">
        <v>1</v>
      </c>
      <c r="H11" s="203" t="s">
        <v>235</v>
      </c>
      <c r="O11" s="1"/>
    </row>
    <row r="12" spans="1:27" ht="15" x14ac:dyDescent="0.25">
      <c r="A12" s="160">
        <v>43525</v>
      </c>
      <c r="B12">
        <v>4</v>
      </c>
      <c r="C12" s="218" t="s">
        <v>233</v>
      </c>
      <c r="D12" s="161"/>
      <c r="F12" s="1" t="s">
        <v>327</v>
      </c>
      <c r="G12" s="159">
        <v>1</v>
      </c>
      <c r="H12" s="203" t="s">
        <v>235</v>
      </c>
      <c r="O12" s="1"/>
    </row>
    <row r="13" spans="1:27" ht="15" x14ac:dyDescent="0.25">
      <c r="A13" s="160">
        <v>43556</v>
      </c>
      <c r="B13">
        <v>0</v>
      </c>
      <c r="C13" s="218" t="s">
        <v>233</v>
      </c>
      <c r="D13" s="161"/>
      <c r="F13" s="1" t="s">
        <v>328</v>
      </c>
      <c r="G13" s="159">
        <v>1</v>
      </c>
      <c r="H13" s="203" t="s">
        <v>235</v>
      </c>
      <c r="O13" s="1"/>
    </row>
    <row r="14" spans="1:27" ht="15" x14ac:dyDescent="0.25">
      <c r="A14" s="160">
        <v>43586</v>
      </c>
      <c r="B14">
        <v>3</v>
      </c>
      <c r="C14" s="218" t="s">
        <v>233</v>
      </c>
      <c r="D14" s="161"/>
      <c r="G14" s="159"/>
      <c r="H14" s="203"/>
      <c r="O14" s="1"/>
    </row>
    <row r="15" spans="1:27" ht="15" x14ac:dyDescent="0.25">
      <c r="A15" s="160">
        <v>43617</v>
      </c>
      <c r="B15">
        <v>9</v>
      </c>
      <c r="C15" s="218" t="s">
        <v>233</v>
      </c>
      <c r="D15" s="161"/>
      <c r="O15" s="1"/>
    </row>
    <row r="16" spans="1:27" ht="15" x14ac:dyDescent="0.25">
      <c r="A16" s="160">
        <v>43647</v>
      </c>
      <c r="B16">
        <v>1</v>
      </c>
      <c r="C16" s="218" t="s">
        <v>233</v>
      </c>
      <c r="D16" s="161"/>
      <c r="O16" s="1"/>
    </row>
    <row r="17" spans="1:15" ht="15" x14ac:dyDescent="0.25">
      <c r="A17" s="160">
        <v>43678</v>
      </c>
      <c r="B17">
        <v>11</v>
      </c>
      <c r="C17" s="218" t="s">
        <v>233</v>
      </c>
      <c r="D17" s="161"/>
      <c r="O17" s="1"/>
    </row>
    <row r="18" spans="1:15" ht="15" x14ac:dyDescent="0.25">
      <c r="A18" s="160">
        <v>43709</v>
      </c>
      <c r="B18">
        <v>3</v>
      </c>
      <c r="C18" s="218" t="s">
        <v>233</v>
      </c>
      <c r="D18" s="161"/>
      <c r="I18" s="39"/>
      <c r="O18" s="1"/>
    </row>
    <row r="19" spans="1:15" ht="15" x14ac:dyDescent="0.25">
      <c r="A19" s="160">
        <v>43739</v>
      </c>
      <c r="B19">
        <v>9</v>
      </c>
      <c r="C19" s="218" t="s">
        <v>233</v>
      </c>
      <c r="D19" s="161"/>
      <c r="I19" s="39"/>
      <c r="O19" s="1"/>
    </row>
    <row r="20" spans="1:15" ht="15" x14ac:dyDescent="0.25">
      <c r="A20" s="160">
        <v>43770</v>
      </c>
      <c r="B20">
        <v>11</v>
      </c>
      <c r="C20" s="218" t="s">
        <v>233</v>
      </c>
      <c r="D20" s="161"/>
      <c r="I20" s="39"/>
      <c r="O20" s="1"/>
    </row>
    <row r="21" spans="1:15" ht="15" x14ac:dyDescent="0.25">
      <c r="A21" s="160">
        <v>43800</v>
      </c>
      <c r="B21">
        <v>4</v>
      </c>
      <c r="C21" s="218" t="s">
        <v>233</v>
      </c>
      <c r="D21" s="161"/>
      <c r="I21" s="39"/>
      <c r="O21" s="1"/>
    </row>
    <row r="22" spans="1:15" ht="15" x14ac:dyDescent="0.25">
      <c r="A22" s="160">
        <v>43831</v>
      </c>
      <c r="B22">
        <v>5</v>
      </c>
      <c r="C22" s="218" t="s">
        <v>233</v>
      </c>
      <c r="D22" s="161"/>
      <c r="I22" s="39"/>
      <c r="O22" s="1"/>
    </row>
    <row r="23" spans="1:15" ht="15" x14ac:dyDescent="0.25">
      <c r="A23" s="160">
        <v>43862</v>
      </c>
      <c r="B23">
        <v>9</v>
      </c>
      <c r="C23" s="218" t="s">
        <v>233</v>
      </c>
      <c r="D23" s="161"/>
      <c r="O23" s="1"/>
    </row>
    <row r="24" spans="1:15" ht="15" x14ac:dyDescent="0.25">
      <c r="A24" s="160">
        <v>43891</v>
      </c>
      <c r="B24">
        <v>3</v>
      </c>
      <c r="C24" s="218" t="s">
        <v>233</v>
      </c>
      <c r="D24" s="161"/>
      <c r="O24" s="1"/>
    </row>
    <row r="25" spans="1:15" ht="15" x14ac:dyDescent="0.25">
      <c r="A25" s="160">
        <v>43922</v>
      </c>
      <c r="B25">
        <v>0</v>
      </c>
      <c r="C25" s="218" t="s">
        <v>233</v>
      </c>
      <c r="D25" s="161"/>
      <c r="O25" s="1"/>
    </row>
    <row r="26" spans="1:15" ht="15" x14ac:dyDescent="0.25">
      <c r="A26" s="160">
        <v>43952</v>
      </c>
      <c r="B26">
        <v>5</v>
      </c>
      <c r="C26" s="218" t="s">
        <v>233</v>
      </c>
      <c r="D26" s="161"/>
      <c r="O26" s="1"/>
    </row>
    <row r="27" spans="1:15" ht="15" x14ac:dyDescent="0.25">
      <c r="A27" s="160">
        <v>43983</v>
      </c>
      <c r="B27">
        <v>1</v>
      </c>
      <c r="C27" s="218" t="s">
        <v>233</v>
      </c>
      <c r="D27" s="161"/>
      <c r="O27" s="1"/>
    </row>
    <row r="28" spans="1:15" ht="15" x14ac:dyDescent="0.25">
      <c r="A28" s="160">
        <v>44013</v>
      </c>
      <c r="B28">
        <v>12</v>
      </c>
      <c r="C28" s="218" t="s">
        <v>233</v>
      </c>
      <c r="D28" s="161"/>
      <c r="O28" s="1"/>
    </row>
    <row r="29" spans="1:15" ht="15" x14ac:dyDescent="0.25">
      <c r="A29" s="160">
        <v>44044</v>
      </c>
      <c r="B29">
        <v>16</v>
      </c>
      <c r="C29" s="218" t="s">
        <v>233</v>
      </c>
      <c r="D29" s="161"/>
      <c r="O29" s="1"/>
    </row>
    <row r="30" spans="1:15" ht="15" x14ac:dyDescent="0.25">
      <c r="A30" s="160">
        <v>44075</v>
      </c>
      <c r="B30">
        <v>3</v>
      </c>
      <c r="C30" s="218" t="s">
        <v>233</v>
      </c>
      <c r="D30" s="161"/>
      <c r="O30" s="1"/>
    </row>
    <row r="31" spans="1:15" ht="15" x14ac:dyDescent="0.25">
      <c r="A31" s="160">
        <v>44105</v>
      </c>
      <c r="B31">
        <v>8</v>
      </c>
      <c r="C31" s="218" t="s">
        <v>233</v>
      </c>
      <c r="D31" s="161"/>
      <c r="O31" s="1"/>
    </row>
    <row r="32" spans="1:15" ht="15" x14ac:dyDescent="0.25">
      <c r="A32" s="160">
        <v>44136</v>
      </c>
      <c r="B32">
        <v>1</v>
      </c>
      <c r="C32" s="218" t="s">
        <v>233</v>
      </c>
      <c r="D32" s="161"/>
      <c r="O32" s="1"/>
    </row>
    <row r="33" spans="1:15" ht="15" x14ac:dyDescent="0.25">
      <c r="A33" s="160">
        <v>44166</v>
      </c>
      <c r="B33">
        <v>0</v>
      </c>
      <c r="C33" s="218" t="s">
        <v>233</v>
      </c>
      <c r="D33" s="161"/>
      <c r="O33" s="1"/>
    </row>
    <row r="34" spans="1:15" ht="15" x14ac:dyDescent="0.25">
      <c r="A34" s="160">
        <v>44197</v>
      </c>
      <c r="B34">
        <v>9</v>
      </c>
      <c r="C34" s="218" t="s">
        <v>233</v>
      </c>
      <c r="D34" s="161"/>
      <c r="O34" s="1"/>
    </row>
    <row r="35" spans="1:15" ht="15" x14ac:dyDescent="0.25">
      <c r="A35" s="160">
        <v>44228</v>
      </c>
      <c r="B35">
        <v>6</v>
      </c>
      <c r="C35" s="218" t="s">
        <v>233</v>
      </c>
      <c r="D35" s="161"/>
      <c r="O35" s="1"/>
    </row>
    <row r="36" spans="1:15" ht="15" x14ac:dyDescent="0.25">
      <c r="A36" s="160">
        <v>44256</v>
      </c>
      <c r="B36">
        <v>0</v>
      </c>
      <c r="C36" s="218" t="s">
        <v>233</v>
      </c>
      <c r="D36" s="161"/>
      <c r="O36" s="1"/>
    </row>
    <row r="37" spans="1:15" ht="15" x14ac:dyDescent="0.25">
      <c r="A37" s="160">
        <v>44287</v>
      </c>
      <c r="B37">
        <v>11</v>
      </c>
      <c r="C37" s="218" t="s">
        <v>233</v>
      </c>
      <c r="D37" s="161"/>
      <c r="O37" s="1"/>
    </row>
    <row r="38" spans="1:15" ht="15" x14ac:dyDescent="0.25">
      <c r="A38" s="160">
        <v>44317</v>
      </c>
      <c r="B38">
        <v>3</v>
      </c>
      <c r="C38" s="218" t="s">
        <v>233</v>
      </c>
      <c r="D38" s="161"/>
      <c r="O38" s="1"/>
    </row>
    <row r="39" spans="1:15" ht="15" x14ac:dyDescent="0.25">
      <c r="A39" s="160">
        <v>44348</v>
      </c>
      <c r="B39">
        <v>2</v>
      </c>
      <c r="C39" s="218" t="s">
        <v>233</v>
      </c>
      <c r="D39" s="161"/>
      <c r="O39" s="1"/>
    </row>
    <row r="40" spans="1:15" ht="15" x14ac:dyDescent="0.25">
      <c r="A40" s="160">
        <v>44378</v>
      </c>
      <c r="B40">
        <v>0</v>
      </c>
      <c r="C40" s="218" t="s">
        <v>233</v>
      </c>
      <c r="D40" s="161"/>
      <c r="O40" s="1"/>
    </row>
    <row r="41" spans="1:15" ht="15" x14ac:dyDescent="0.25">
      <c r="A41" s="160">
        <v>44409</v>
      </c>
      <c r="B41">
        <v>1</v>
      </c>
      <c r="C41" s="218" t="s">
        <v>233</v>
      </c>
      <c r="D41" s="161"/>
      <c r="O41" s="1"/>
    </row>
    <row r="42" spans="1:15" ht="15" x14ac:dyDescent="0.25">
      <c r="A42" s="160">
        <v>44440</v>
      </c>
      <c r="B42">
        <v>3</v>
      </c>
      <c r="C42" s="218" t="s">
        <v>233</v>
      </c>
      <c r="D42" s="161"/>
      <c r="O42" s="1"/>
    </row>
    <row r="43" spans="1:15" ht="15" x14ac:dyDescent="0.25">
      <c r="A43" s="160">
        <v>44470</v>
      </c>
      <c r="B43">
        <v>0</v>
      </c>
      <c r="C43" s="218" t="s">
        <v>233</v>
      </c>
      <c r="D43" s="161"/>
      <c r="O43" s="1"/>
    </row>
    <row r="44" spans="1:15" ht="15" x14ac:dyDescent="0.25">
      <c r="A44" s="160">
        <v>44501</v>
      </c>
      <c r="B44">
        <v>20</v>
      </c>
      <c r="C44" s="218" t="s">
        <v>233</v>
      </c>
      <c r="D44" s="161"/>
      <c r="O44" s="1"/>
    </row>
    <row r="45" spans="1:15" ht="15" x14ac:dyDescent="0.25">
      <c r="A45" s="160">
        <v>44531</v>
      </c>
      <c r="B45">
        <v>4</v>
      </c>
      <c r="C45" s="218" t="s">
        <v>233</v>
      </c>
      <c r="D45" s="161"/>
      <c r="O45" s="1"/>
    </row>
    <row r="46" spans="1:15" ht="15" x14ac:dyDescent="0.25">
      <c r="A46" s="160">
        <v>44562</v>
      </c>
      <c r="B46">
        <v>9</v>
      </c>
      <c r="C46" s="218" t="s">
        <v>233</v>
      </c>
      <c r="D46" s="161"/>
      <c r="O46" s="1"/>
    </row>
    <row r="47" spans="1:15" ht="15" x14ac:dyDescent="0.25">
      <c r="A47" s="160">
        <v>44593</v>
      </c>
      <c r="B47">
        <v>0</v>
      </c>
      <c r="C47" s="218" t="s">
        <v>233</v>
      </c>
      <c r="D47" s="161"/>
      <c r="O47" s="1"/>
    </row>
    <row r="48" spans="1:15" ht="15" x14ac:dyDescent="0.25">
      <c r="A48" s="160">
        <v>44621</v>
      </c>
      <c r="B48">
        <v>3</v>
      </c>
      <c r="C48" s="218" t="s">
        <v>233</v>
      </c>
      <c r="D48" s="161"/>
      <c r="O48" s="1"/>
    </row>
    <row r="49" spans="1:15" ht="15" x14ac:dyDescent="0.25">
      <c r="A49" s="160">
        <v>44652</v>
      </c>
      <c r="B49">
        <v>5</v>
      </c>
      <c r="C49" s="218" t="s">
        <v>233</v>
      </c>
      <c r="D49" s="161"/>
      <c r="O49" s="1"/>
    </row>
    <row r="50" spans="1:15" ht="15" x14ac:dyDescent="0.25">
      <c r="A50" s="160">
        <v>44682</v>
      </c>
      <c r="B50">
        <v>8</v>
      </c>
      <c r="C50" s="218" t="s">
        <v>233</v>
      </c>
      <c r="D50" s="161"/>
      <c r="O50" s="1"/>
    </row>
    <row r="51" spans="1:15" ht="15" x14ac:dyDescent="0.25">
      <c r="A51" s="160">
        <v>44713</v>
      </c>
      <c r="B51">
        <v>1</v>
      </c>
      <c r="C51" s="218" t="s">
        <v>233</v>
      </c>
      <c r="D51" s="161"/>
      <c r="O51" s="1"/>
    </row>
    <row r="52" spans="1:15" ht="15" x14ac:dyDescent="0.25">
      <c r="A52" s="160">
        <v>44743</v>
      </c>
      <c r="B52">
        <v>5</v>
      </c>
      <c r="C52" s="218" t="s">
        <v>233</v>
      </c>
      <c r="D52" s="161"/>
      <c r="O52" s="1"/>
    </row>
    <row r="53" spans="1:15" ht="15" x14ac:dyDescent="0.25">
      <c r="A53" s="160">
        <v>44774</v>
      </c>
      <c r="B53">
        <v>5</v>
      </c>
      <c r="C53" s="218" t="s">
        <v>233</v>
      </c>
      <c r="D53" s="161"/>
      <c r="O53" s="1"/>
    </row>
    <row r="54" spans="1:15" ht="15" x14ac:dyDescent="0.25">
      <c r="A54" s="160">
        <v>44805</v>
      </c>
      <c r="B54">
        <v>0</v>
      </c>
      <c r="C54" s="218" t="s">
        <v>233</v>
      </c>
      <c r="D54" s="161"/>
      <c r="O54" s="1"/>
    </row>
    <row r="55" spans="1:15" ht="15" x14ac:dyDescent="0.25">
      <c r="A55" s="160">
        <v>44835</v>
      </c>
      <c r="B55">
        <v>2</v>
      </c>
      <c r="C55" s="218" t="s">
        <v>233</v>
      </c>
      <c r="D55" s="161"/>
      <c r="O55" s="1"/>
    </row>
    <row r="56" spans="1:15" ht="15" x14ac:dyDescent="0.25">
      <c r="A56" s="160">
        <v>44866</v>
      </c>
      <c r="B56">
        <v>23</v>
      </c>
      <c r="C56" s="218" t="s">
        <v>233</v>
      </c>
      <c r="D56" s="161"/>
      <c r="O56" s="1"/>
    </row>
    <row r="57" spans="1:15" ht="15" x14ac:dyDescent="0.25">
      <c r="A57" s="160">
        <v>44896</v>
      </c>
      <c r="B57">
        <v>4</v>
      </c>
      <c r="C57" s="218" t="s">
        <v>233</v>
      </c>
      <c r="D57" s="161"/>
      <c r="O57" s="1"/>
    </row>
    <row r="58" spans="1:15" ht="15" x14ac:dyDescent="0.25">
      <c r="A58" s="160">
        <v>44927</v>
      </c>
      <c r="B58">
        <v>0</v>
      </c>
      <c r="C58" s="218" t="s">
        <v>233</v>
      </c>
      <c r="D58" s="161"/>
      <c r="O58" s="1"/>
    </row>
    <row r="59" spans="1:15" ht="15" x14ac:dyDescent="0.25">
      <c r="A59" s="160">
        <v>44958</v>
      </c>
      <c r="B59">
        <v>2</v>
      </c>
      <c r="C59" s="218" t="s">
        <v>233</v>
      </c>
      <c r="D59" s="161"/>
      <c r="O59" s="1"/>
    </row>
    <row r="60" spans="1:15" ht="15" x14ac:dyDescent="0.25">
      <c r="A60" s="160">
        <v>44986</v>
      </c>
      <c r="B60">
        <v>5</v>
      </c>
      <c r="C60" s="218" t="s">
        <v>233</v>
      </c>
      <c r="D60" s="161"/>
      <c r="O60" s="1"/>
    </row>
    <row r="61" spans="1:15" ht="15" x14ac:dyDescent="0.25">
      <c r="A61" s="160">
        <v>45017</v>
      </c>
      <c r="B61">
        <v>1</v>
      </c>
      <c r="C61" s="218" t="s">
        <v>233</v>
      </c>
      <c r="D61" s="161"/>
      <c r="O61" s="1"/>
    </row>
    <row r="62" spans="1:15" ht="15" x14ac:dyDescent="0.25">
      <c r="A62" s="160">
        <v>45047</v>
      </c>
      <c r="B62">
        <v>3</v>
      </c>
      <c r="C62" s="218" t="s">
        <v>233</v>
      </c>
      <c r="D62" s="161"/>
      <c r="O62" s="1"/>
    </row>
    <row r="63" spans="1:15" ht="15" x14ac:dyDescent="0.25">
      <c r="A63" s="160">
        <v>45078</v>
      </c>
      <c r="B63">
        <v>5</v>
      </c>
      <c r="C63" s="218" t="s">
        <v>233</v>
      </c>
      <c r="D63" s="161"/>
      <c r="O63" s="1"/>
    </row>
    <row r="64" spans="1:15" ht="15" x14ac:dyDescent="0.25">
      <c r="A64" s="160">
        <v>45108</v>
      </c>
      <c r="B64">
        <v>3</v>
      </c>
      <c r="C64" s="218" t="s">
        <v>233</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customXml/itemProps2.xml><?xml version="1.0" encoding="utf-8"?>
<ds:datastoreItem xmlns:ds="http://schemas.openxmlformats.org/officeDocument/2006/customXml" ds:itemID="{CC8E6ABC-05F3-4649-87B5-8660A8355832}">
  <ds:schemaRefs>
    <ds:schemaRef ds:uri="http://schemas.microsoft.com/sharepoint/v3/contenttype/forms"/>
  </ds:schemaRefs>
</ds:datastoreItem>
</file>

<file path=customXml/itemProps3.xml><?xml version="1.0" encoding="utf-8"?>
<ds:datastoreItem xmlns:ds="http://schemas.openxmlformats.org/officeDocument/2006/customXml" ds:itemID="{2F61DC2B-7E2F-47B5-BC0B-230B199802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Andrews</dc:creator>
  <cp:keywords/>
  <dc:description/>
  <cp:lastModifiedBy>Alex Andrews</cp:lastModifiedBy>
  <cp:revision/>
  <dcterms:created xsi:type="dcterms:W3CDTF">2023-03-27T15:01:32Z</dcterms:created>
  <dcterms:modified xsi:type="dcterms:W3CDTF">2023-11-15T19:03:45Z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